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youngsussex-my.sharepoint.com/personal/simon_youngsussex_co_uk/Documents/Young Sussex/Administration/Financial/Fees/Fees/Fees 2024/"/>
    </mc:Choice>
  </mc:AlternateContent>
  <xr:revisionPtr revIDLastSave="144" documentId="8_{431A0011-4D9A-4A48-BA4F-38C0BC84AF01}" xr6:coauthVersionLast="47" xr6:coauthVersionMax="47" xr10:uidLastSave="{E442D502-35EE-4B45-94B7-ED12BF2D3FD4}"/>
  <bookViews>
    <workbookView xWindow="12300" yWindow="750" windowWidth="28740" windowHeight="19365" tabRatio="722" firstSheet="1" activeTab="1" xr2:uid="{00000000-000D-0000-FFFF-FFFF00000000}"/>
  </bookViews>
  <sheets>
    <sheet name="Funding Calculator (OLD)" sheetId="20" state="hidden" r:id="rId1"/>
    <sheet name="Funding Calculator" sheetId="23" r:id="rId2"/>
  </sheets>
  <definedNames>
    <definedName name="_xlnm.Print_Area" localSheetId="1">'Funding Calculator'!$B$2:$AH$93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7" i="23" l="1"/>
  <c r="AO26" i="23"/>
  <c r="AO25" i="23"/>
  <c r="AK26" i="23"/>
  <c r="AK27" i="23"/>
  <c r="AK28" i="23"/>
  <c r="AK29" i="23"/>
  <c r="AK25" i="23"/>
  <c r="AO23" i="23"/>
  <c r="AO22" i="23"/>
  <c r="AM22" i="23"/>
  <c r="AM23" i="23"/>
  <c r="AL23" i="23"/>
  <c r="AL22" i="23"/>
  <c r="AN18" i="23"/>
  <c r="AN19" i="23" s="1"/>
  <c r="AL15" i="23"/>
  <c r="AL16" i="23" s="1"/>
  <c r="AL13" i="23"/>
  <c r="AL11" i="23"/>
  <c r="AF20" i="23"/>
  <c r="AF19" i="23"/>
  <c r="AG13" i="23"/>
  <c r="AG14" i="23"/>
  <c r="AG15" i="23"/>
  <c r="AG12" i="23"/>
  <c r="AC8" i="23"/>
  <c r="AD90" i="23"/>
  <c r="AD89" i="23"/>
  <c r="AD88" i="23"/>
  <c r="AD87" i="23"/>
  <c r="AD86" i="23"/>
  <c r="AD85" i="23"/>
  <c r="AD84" i="23"/>
  <c r="AD83" i="23"/>
  <c r="AA71" i="23"/>
  <c r="AN52" i="23"/>
  <c r="AK52" i="23"/>
  <c r="AK50" i="23"/>
  <c r="AT50" i="23" s="1"/>
  <c r="AA50" i="23"/>
  <c r="AV49" i="23"/>
  <c r="AK49" i="23"/>
  <c r="AT49" i="23" s="1"/>
  <c r="AA49" i="23"/>
  <c r="AQ48" i="23"/>
  <c r="AK48" i="23"/>
  <c r="AM48" i="23" s="1"/>
  <c r="AA48" i="23"/>
  <c r="AQ47" i="23"/>
  <c r="AK47" i="23"/>
  <c r="AA47" i="23"/>
  <c r="AV46" i="23"/>
  <c r="AQ46" i="23"/>
  <c r="AK46" i="23"/>
  <c r="AA46" i="23"/>
  <c r="AQ45" i="23"/>
  <c r="AK45" i="23"/>
  <c r="AJ45" i="23"/>
  <c r="AL45" i="23" s="1"/>
  <c r="AA45" i="23"/>
  <c r="AK44" i="23"/>
  <c r="AT44" i="23" s="1"/>
  <c r="AA44" i="23"/>
  <c r="AK43" i="23"/>
  <c r="AT43" i="23" s="1"/>
  <c r="AA43" i="23"/>
  <c r="AV42" i="23"/>
  <c r="AV43" i="23" s="1"/>
  <c r="AK39" i="23"/>
  <c r="AE37" i="23" s="1"/>
  <c r="AE38" i="23"/>
  <c r="AE35" i="23"/>
  <c r="AK33" i="23"/>
  <c r="AA41" i="23" s="1"/>
  <c r="AE32" i="23"/>
  <c r="AO29" i="23"/>
  <c r="AA67" i="23" s="1"/>
  <c r="AG29" i="23"/>
  <c r="AF29" i="23"/>
  <c r="AE29" i="23"/>
  <c r="AI29" i="23" s="1"/>
  <c r="AD29" i="23"/>
  <c r="AC29" i="23"/>
  <c r="AO27" i="23"/>
  <c r="AA74" i="23" s="1"/>
  <c r="AG26" i="23"/>
  <c r="AF26" i="23"/>
  <c r="AE26" i="23"/>
  <c r="AD26" i="23"/>
  <c r="AC26" i="23"/>
  <c r="AG25" i="23"/>
  <c r="AG27" i="23" s="1"/>
  <c r="AF25" i="23"/>
  <c r="AE25" i="23"/>
  <c r="AD25" i="23"/>
  <c r="AC25" i="23"/>
  <c r="AG24" i="23"/>
  <c r="AF24" i="23"/>
  <c r="AE24" i="23"/>
  <c r="AD24" i="23"/>
  <c r="AC24" i="23"/>
  <c r="AN23" i="23"/>
  <c r="AG23" i="23"/>
  <c r="AF23" i="23"/>
  <c r="AE23" i="23"/>
  <c r="AD23" i="23"/>
  <c r="AC23" i="23"/>
  <c r="AE17" i="23"/>
  <c r="AJ50" i="23" s="1"/>
  <c r="AL50" i="23" s="1"/>
  <c r="AE16" i="23"/>
  <c r="AJ49" i="23" s="1"/>
  <c r="AL49" i="23" s="1"/>
  <c r="AE15" i="23"/>
  <c r="AJ48" i="23" s="1"/>
  <c r="AL14" i="23"/>
  <c r="AE14" i="23"/>
  <c r="AJ47" i="23" s="1"/>
  <c r="AE13" i="23"/>
  <c r="AJ46" i="23" s="1"/>
  <c r="AL12" i="23"/>
  <c r="AE12" i="23"/>
  <c r="AE11" i="23"/>
  <c r="AJ44" i="23" s="1"/>
  <c r="AL44" i="23" s="1"/>
  <c r="AE10" i="23"/>
  <c r="AJ43" i="23" s="1"/>
  <c r="N65" i="23"/>
  <c r="O65" i="23" s="1"/>
  <c r="O72" i="23"/>
  <c r="O71" i="23"/>
  <c r="O70" i="23"/>
  <c r="N67" i="23"/>
  <c r="O67" i="23" s="1"/>
  <c r="P67" i="23" s="1"/>
  <c r="N66" i="23"/>
  <c r="O66" i="23" s="1"/>
  <c r="P66" i="23" s="1"/>
  <c r="AN22" i="23" l="1"/>
  <c r="AD27" i="23"/>
  <c r="AI25" i="23"/>
  <c r="AI26" i="23"/>
  <c r="AE27" i="23"/>
  <c r="AP52" i="23"/>
  <c r="AL43" i="23"/>
  <c r="AT45" i="23"/>
  <c r="AF18" i="23"/>
  <c r="AN50" i="23" s="1"/>
  <c r="AI24" i="23"/>
  <c r="AF27" i="23"/>
  <c r="AG28" i="23"/>
  <c r="AT47" i="23"/>
  <c r="AI23" i="23"/>
  <c r="AC28" i="23"/>
  <c r="AI28" i="23" s="1"/>
  <c r="AT48" i="23"/>
  <c r="AT46" i="23"/>
  <c r="AL48" i="23"/>
  <c r="AN48" i="23"/>
  <c r="AO48" i="23" s="1"/>
  <c r="AS48" i="23" s="1"/>
  <c r="AO50" i="23"/>
  <c r="AP50" i="23"/>
  <c r="AL46" i="23"/>
  <c r="AL47" i="23"/>
  <c r="AK54" i="23"/>
  <c r="AC27" i="23"/>
  <c r="AI27" i="23" s="1"/>
  <c r="AD28" i="23"/>
  <c r="AE28" i="23"/>
  <c r="AN44" i="23"/>
  <c r="AO44" i="23" s="1"/>
  <c r="AF28" i="23"/>
  <c r="AM47" i="23"/>
  <c r="AN47" i="23" s="1"/>
  <c r="AO47" i="23" s="1"/>
  <c r="AS47" i="23" s="1"/>
  <c r="AN49" i="23"/>
  <c r="P65" i="23"/>
  <c r="E87" i="23" s="1"/>
  <c r="E88" i="23"/>
  <c r="E89" i="23"/>
  <c r="AT54" i="23" l="1"/>
  <c r="AV44" i="23" s="1"/>
  <c r="AV47" i="23" s="1"/>
  <c r="AL54" i="23"/>
  <c r="AN45" i="23"/>
  <c r="AO45" i="23" s="1"/>
  <c r="AS45" i="23" s="1"/>
  <c r="AN46" i="23"/>
  <c r="AN43" i="23"/>
  <c r="AO43" i="23" s="1"/>
  <c r="AP44" i="23"/>
  <c r="AP46" i="23"/>
  <c r="AO46" i="23"/>
  <c r="AS46" i="23" s="1"/>
  <c r="AP47" i="23"/>
  <c r="AO49" i="23"/>
  <c r="AP49" i="23"/>
  <c r="AP45" i="23"/>
  <c r="AP48" i="23"/>
  <c r="AA54" i="23"/>
  <c r="AR46" i="23" l="1"/>
  <c r="AK35" i="23"/>
  <c r="AA60" i="23" s="1"/>
  <c r="AP43" i="23"/>
  <c r="AP54" i="23" s="1"/>
  <c r="AV50" i="23" s="1"/>
  <c r="AR45" i="23"/>
  <c r="AR48" i="23"/>
  <c r="AR47" i="23"/>
  <c r="AQ68" i="23" s="1"/>
  <c r="AQ65" i="23" l="1"/>
  <c r="AQ67" i="23"/>
  <c r="AQ66" i="23"/>
  <c r="AR65" i="23"/>
  <c r="AR68" i="23"/>
  <c r="AR66" i="23"/>
  <c r="AR67" i="23"/>
  <c r="AS65" i="23" l="1"/>
  <c r="AR69" i="23"/>
  <c r="AS66" i="23" l="1"/>
  <c r="AT66" i="23" s="1"/>
  <c r="AT65" i="23"/>
  <c r="AS67" i="23" l="1"/>
  <c r="AT67" i="23" s="1"/>
  <c r="AS68" i="23" l="1"/>
  <c r="AT68" i="23" s="1"/>
  <c r="AT69" i="23" s="1"/>
  <c r="AS69" i="23" l="1"/>
  <c r="AT70" i="23" s="1"/>
  <c r="AV45" i="23" s="1"/>
  <c r="AV57" i="23" l="1"/>
  <c r="AA57" i="23" s="1"/>
  <c r="AV48" i="23"/>
  <c r="AV52" i="23" s="1"/>
  <c r="AV54" i="23" s="1"/>
  <c r="AA58" i="23" s="1"/>
  <c r="C71" i="23" l="1"/>
  <c r="Q29" i="23"/>
  <c r="C67" i="23" s="1"/>
  <c r="P19" i="23"/>
  <c r="S45" i="23"/>
  <c r="N12" i="23"/>
  <c r="M39" i="23"/>
  <c r="G37" i="23" s="1"/>
  <c r="M33" i="23"/>
  <c r="X42" i="23"/>
  <c r="N14" i="23"/>
  <c r="X49" i="23"/>
  <c r="M52" i="23" l="1"/>
  <c r="C50" i="23"/>
  <c r="AC90" i="23" s="1"/>
  <c r="M49" i="23"/>
  <c r="V49" i="23" s="1"/>
  <c r="C49" i="23"/>
  <c r="AC89" i="23" s="1"/>
  <c r="M48" i="23"/>
  <c r="O48" i="23" s="1"/>
  <c r="C48" i="23"/>
  <c r="AC88" i="23" s="1"/>
  <c r="M47" i="23"/>
  <c r="O47" i="23" s="1"/>
  <c r="C47" i="23"/>
  <c r="AC87" i="23" s="1"/>
  <c r="M46" i="23"/>
  <c r="C46" i="23"/>
  <c r="AC86" i="23" s="1"/>
  <c r="M45" i="23"/>
  <c r="C45" i="23"/>
  <c r="AC85" i="23" s="1"/>
  <c r="M44" i="23"/>
  <c r="V44" i="23" s="1"/>
  <c r="C44" i="23"/>
  <c r="AC84" i="23" s="1"/>
  <c r="C43" i="23"/>
  <c r="AC83" i="23" s="1"/>
  <c r="G38" i="23"/>
  <c r="C41" i="23"/>
  <c r="G32" i="23"/>
  <c r="I29" i="23"/>
  <c r="H29" i="23"/>
  <c r="G29" i="23"/>
  <c r="F29" i="23"/>
  <c r="E29" i="23"/>
  <c r="I26" i="23"/>
  <c r="H26" i="23"/>
  <c r="G26" i="23"/>
  <c r="F26" i="23"/>
  <c r="E26" i="23"/>
  <c r="I25" i="23"/>
  <c r="H25" i="23"/>
  <c r="G25" i="23"/>
  <c r="F25" i="23"/>
  <c r="E25" i="23"/>
  <c r="I24" i="23"/>
  <c r="H24" i="23"/>
  <c r="G24" i="23"/>
  <c r="F24" i="23"/>
  <c r="E24" i="23"/>
  <c r="I23" i="23"/>
  <c r="H23" i="23"/>
  <c r="G23" i="23"/>
  <c r="F23" i="23"/>
  <c r="E23" i="23"/>
  <c r="M43" i="23" l="1"/>
  <c r="V43" i="23" s="1"/>
  <c r="S48" i="23"/>
  <c r="V48" i="23" s="1"/>
  <c r="X46" i="23"/>
  <c r="Q27" i="23" s="1"/>
  <c r="C74" i="23" s="1"/>
  <c r="G35" i="23"/>
  <c r="S46" i="23"/>
  <c r="V46" i="23" s="1"/>
  <c r="K29" i="23"/>
  <c r="H18" i="23"/>
  <c r="F28" i="23"/>
  <c r="E28" i="23"/>
  <c r="B2" i="23"/>
  <c r="X43" i="23"/>
  <c r="I27" i="23"/>
  <c r="I28" i="23"/>
  <c r="F27" i="23"/>
  <c r="G14" i="23"/>
  <c r="G17" i="23"/>
  <c r="P22" i="23"/>
  <c r="G10" i="23"/>
  <c r="H28" i="23"/>
  <c r="G11" i="23"/>
  <c r="G12" i="23"/>
  <c r="K26" i="23"/>
  <c r="K23" i="23"/>
  <c r="K24" i="23"/>
  <c r="K25" i="23"/>
  <c r="G13" i="23"/>
  <c r="G16" i="23"/>
  <c r="G27" i="23"/>
  <c r="G28" i="23"/>
  <c r="G15" i="23"/>
  <c r="H27" i="23"/>
  <c r="M50" i="23"/>
  <c r="E27" i="23"/>
  <c r="P23" i="23"/>
  <c r="M54" i="23" l="1"/>
  <c r="L43" i="23"/>
  <c r="K28" i="23"/>
  <c r="L45" i="23"/>
  <c r="N45" i="23" s="1"/>
  <c r="L44" i="23"/>
  <c r="K27" i="23"/>
  <c r="L50" i="23"/>
  <c r="N50" i="23" s="1"/>
  <c r="L47" i="23"/>
  <c r="P47" i="23" s="1"/>
  <c r="L49" i="23"/>
  <c r="L46" i="23"/>
  <c r="L48" i="23"/>
  <c r="P48" i="23" s="1"/>
  <c r="V50" i="23"/>
  <c r="P43" i="23" l="1"/>
  <c r="Q43" i="23" s="1"/>
  <c r="N43" i="23"/>
  <c r="S47" i="23"/>
  <c r="V47" i="23" s="1"/>
  <c r="C54" i="23"/>
  <c r="P50" i="23"/>
  <c r="P45" i="23"/>
  <c r="N44" i="23"/>
  <c r="P44" i="23"/>
  <c r="N47" i="23"/>
  <c r="N46" i="23"/>
  <c r="P46" i="23"/>
  <c r="N48" i="23"/>
  <c r="P49" i="23"/>
  <c r="N49" i="23"/>
  <c r="R43" i="23" l="1"/>
  <c r="R50" i="23"/>
  <c r="Q50" i="23"/>
  <c r="R47" i="23"/>
  <c r="Q47" i="23"/>
  <c r="U47" i="23" s="1"/>
  <c r="R46" i="23"/>
  <c r="Q46" i="23"/>
  <c r="U46" i="23" s="1"/>
  <c r="N16" i="23"/>
  <c r="R45" i="23"/>
  <c r="Q45" i="23"/>
  <c r="U45" i="23" s="1"/>
  <c r="R44" i="23"/>
  <c r="Q44" i="23"/>
  <c r="R49" i="23"/>
  <c r="Q49" i="23"/>
  <c r="R48" i="23"/>
  <c r="Q48" i="23"/>
  <c r="N54" i="23"/>
  <c r="U48" i="23" l="1"/>
  <c r="T48" i="23" s="1"/>
  <c r="T45" i="23" l="1"/>
  <c r="T46" i="23"/>
  <c r="T47" i="23"/>
  <c r="T68" i="23" l="1"/>
  <c r="T67" i="23"/>
  <c r="S67" i="23"/>
  <c r="S68" i="23"/>
  <c r="S65" i="23"/>
  <c r="S66" i="23"/>
  <c r="AJ20" i="20"/>
  <c r="AB37" i="20" s="1"/>
  <c r="AP41" i="20"/>
  <c r="AI19" i="20"/>
  <c r="AI20" i="20" s="1"/>
  <c r="AC18" i="20" s="1"/>
  <c r="X10" i="20"/>
  <c r="X42" i="20" s="1"/>
  <c r="AI10" i="20"/>
  <c r="AJ10" i="20"/>
  <c r="X11" i="20"/>
  <c r="X43" i="20" s="1"/>
  <c r="AJ11" i="20"/>
  <c r="X12" i="20"/>
  <c r="X44" i="20" s="1"/>
  <c r="AJ12" i="20"/>
  <c r="X13" i="20"/>
  <c r="X45" i="20" s="1"/>
  <c r="AJ13" i="20"/>
  <c r="X14" i="20"/>
  <c r="X46" i="20" s="1"/>
  <c r="X15" i="20"/>
  <c r="X47" i="20" s="1"/>
  <c r="AJ15" i="20"/>
  <c r="AB31" i="20" s="1"/>
  <c r="X16" i="20"/>
  <c r="X48" i="20" s="1"/>
  <c r="X17" i="20"/>
  <c r="X49" i="20" s="1"/>
  <c r="X18" i="20"/>
  <c r="X19" i="20"/>
  <c r="AL22" i="20"/>
  <c r="AP48" i="20" s="1"/>
  <c r="X23" i="20"/>
  <c r="Z23" i="20"/>
  <c r="AA23" i="20"/>
  <c r="AB23" i="20"/>
  <c r="AC23" i="20"/>
  <c r="AD23" i="20"/>
  <c r="AL23" i="20"/>
  <c r="X24" i="20"/>
  <c r="Z24" i="20"/>
  <c r="AA24" i="20"/>
  <c r="AB24" i="20"/>
  <c r="AF24" i="20" s="1"/>
  <c r="AC24" i="20"/>
  <c r="AD24" i="20"/>
  <c r="X25" i="20"/>
  <c r="Z25" i="20"/>
  <c r="Z27" i="20" s="1"/>
  <c r="AA25" i="20"/>
  <c r="AA28" i="20" s="1"/>
  <c r="AB25" i="20"/>
  <c r="AB27" i="20" s="1"/>
  <c r="AC25" i="20"/>
  <c r="AC27" i="20" s="1"/>
  <c r="AD25" i="20"/>
  <c r="AH25" i="20"/>
  <c r="AL25" i="20"/>
  <c r="X69" i="20" s="1"/>
  <c r="X26" i="20"/>
  <c r="Z26" i="20"/>
  <c r="AA26" i="20"/>
  <c r="AB26" i="20"/>
  <c r="AF26" i="20" s="1"/>
  <c r="AC26" i="20"/>
  <c r="AD26" i="20"/>
  <c r="AH26" i="20"/>
  <c r="AL26" i="20"/>
  <c r="X27" i="20"/>
  <c r="AD27" i="20"/>
  <c r="AH27" i="20"/>
  <c r="X28" i="20"/>
  <c r="AD28" i="20"/>
  <c r="AH28" i="20"/>
  <c r="X29" i="20"/>
  <c r="Z29" i="20"/>
  <c r="AA29" i="20"/>
  <c r="AB29" i="20"/>
  <c r="AF29" i="20" s="1"/>
  <c r="AC29" i="20"/>
  <c r="AD29" i="20"/>
  <c r="AH29" i="20"/>
  <c r="Z32" i="20"/>
  <c r="AH36" i="20"/>
  <c r="AH43" i="20"/>
  <c r="AH44" i="20"/>
  <c r="AH45" i="20"/>
  <c r="AH46" i="20"/>
  <c r="AJ46" i="20" s="1"/>
  <c r="AH47" i="20"/>
  <c r="AJ47" i="20" s="1"/>
  <c r="AH48" i="20"/>
  <c r="AN48" i="20"/>
  <c r="AH51" i="20"/>
  <c r="G37" i="20"/>
  <c r="AH32" i="20" l="1"/>
  <c r="X40" i="20" s="1"/>
  <c r="Z28" i="20"/>
  <c r="AA27" i="20"/>
  <c r="AF27" i="20" s="1"/>
  <c r="AF23" i="20"/>
  <c r="AC28" i="20"/>
  <c r="AB28" i="20"/>
  <c r="AN43" i="20"/>
  <c r="AF25" i="20"/>
  <c r="N19" i="20"/>
  <c r="H18" i="20" l="1"/>
  <c r="N20" i="20"/>
  <c r="AF28" i="20"/>
  <c r="X53" i="20" s="1"/>
  <c r="N23" i="20" l="1"/>
  <c r="AI23" i="20" s="1"/>
  <c r="O23" i="20"/>
  <c r="AJ23" i="20" s="1"/>
  <c r="AL28" i="20" s="1"/>
  <c r="O22" i="20"/>
  <c r="AJ22" i="20" s="1"/>
  <c r="N22" i="20"/>
  <c r="AI22" i="20" s="1"/>
  <c r="AP42" i="20" s="1"/>
  <c r="I15" i="20"/>
  <c r="AD15" i="20" s="1"/>
  <c r="AM47" i="20" s="1"/>
  <c r="AN47" i="20" s="1"/>
  <c r="I14" i="20"/>
  <c r="AD14" i="20" s="1"/>
  <c r="AM46" i="20" s="1"/>
  <c r="AN46" i="20" s="1"/>
  <c r="I13" i="20"/>
  <c r="AD13" i="20" s="1"/>
  <c r="AM45" i="20" s="1"/>
  <c r="AN45" i="20" s="1"/>
  <c r="I12" i="20" l="1"/>
  <c r="AD12" i="20" s="1"/>
  <c r="AM44" i="20" s="1"/>
  <c r="AN44" i="20" s="1"/>
  <c r="AL27" i="20"/>
  <c r="X70" i="20" s="1"/>
  <c r="AP45" i="20"/>
  <c r="M32" i="20"/>
  <c r="V45" i="23" l="1"/>
  <c r="T65" i="23" s="1"/>
  <c r="U65" i="23" s="1"/>
  <c r="U41" i="20"/>
  <c r="V65" i="23" l="1"/>
  <c r="T66" i="23"/>
  <c r="V54" i="23"/>
  <c r="X44" i="23" s="1"/>
  <c r="X47" i="23" s="1"/>
  <c r="M16" i="20"/>
  <c r="AH16" i="20" s="1"/>
  <c r="M17" i="20"/>
  <c r="M15" i="20"/>
  <c r="AH15" i="20" s="1"/>
  <c r="E8" i="20"/>
  <c r="Z8" i="20" s="1"/>
  <c r="Q27" i="20"/>
  <c r="P22" i="20"/>
  <c r="AK22" i="20" s="1"/>
  <c r="F17" i="20"/>
  <c r="AA17" i="20" s="1"/>
  <c r="F16" i="20"/>
  <c r="AA16" i="20" s="1"/>
  <c r="E17" i="20"/>
  <c r="Z17" i="20" s="1"/>
  <c r="E16" i="20"/>
  <c r="Z16" i="20" s="1"/>
  <c r="F15" i="20"/>
  <c r="AA15" i="20" s="1"/>
  <c r="F14" i="20"/>
  <c r="AA14" i="20" s="1"/>
  <c r="F13" i="20"/>
  <c r="AA13" i="20" s="1"/>
  <c r="F12" i="20"/>
  <c r="AA12" i="20" s="1"/>
  <c r="E15" i="20"/>
  <c r="Z15" i="20" s="1"/>
  <c r="E14" i="20"/>
  <c r="Z14" i="20" s="1"/>
  <c r="E13" i="20"/>
  <c r="Z13" i="20" s="1"/>
  <c r="E12" i="20"/>
  <c r="Z12" i="20" s="1"/>
  <c r="F11" i="20"/>
  <c r="AA11" i="20" s="1"/>
  <c r="E11" i="20"/>
  <c r="Z11" i="20" s="1"/>
  <c r="F10" i="20"/>
  <c r="AA10" i="20" s="1"/>
  <c r="E10" i="20"/>
  <c r="Z10" i="20" s="1"/>
  <c r="C69" i="20"/>
  <c r="M51" i="20"/>
  <c r="C49" i="20"/>
  <c r="U48" i="20"/>
  <c r="M48" i="20"/>
  <c r="S48" i="20" s="1"/>
  <c r="C48" i="20"/>
  <c r="M47" i="20"/>
  <c r="O47" i="20" s="1"/>
  <c r="C47" i="20"/>
  <c r="M46" i="20"/>
  <c r="O46" i="20" s="1"/>
  <c r="C46" i="20"/>
  <c r="M45" i="20"/>
  <c r="C45" i="20"/>
  <c r="M44" i="20"/>
  <c r="C44" i="20"/>
  <c r="M43" i="20"/>
  <c r="C43" i="20"/>
  <c r="C42" i="20"/>
  <c r="G31" i="20"/>
  <c r="I29" i="20"/>
  <c r="H29" i="20"/>
  <c r="G29" i="20"/>
  <c r="F29" i="20"/>
  <c r="E29" i="20"/>
  <c r="I26" i="20"/>
  <c r="H26" i="20"/>
  <c r="G26" i="20"/>
  <c r="F26" i="20"/>
  <c r="E26" i="20"/>
  <c r="I25" i="20"/>
  <c r="I28" i="20" s="1"/>
  <c r="H25" i="20"/>
  <c r="G25" i="20"/>
  <c r="F25" i="20"/>
  <c r="E25" i="20"/>
  <c r="I24" i="20"/>
  <c r="H24" i="20"/>
  <c r="G24" i="20"/>
  <c r="F24" i="20"/>
  <c r="E24" i="20"/>
  <c r="I23" i="20"/>
  <c r="H23" i="20"/>
  <c r="G23" i="20"/>
  <c r="F23" i="20"/>
  <c r="E23" i="20"/>
  <c r="E28" i="20" l="1"/>
  <c r="M35" i="23"/>
  <c r="C60" i="23" s="1"/>
  <c r="T69" i="23"/>
  <c r="U66" i="23"/>
  <c r="G27" i="20"/>
  <c r="AH49" i="20"/>
  <c r="AN49" i="20" s="1"/>
  <c r="AH42" i="20"/>
  <c r="G34" i="20"/>
  <c r="AH17" i="20"/>
  <c r="AB34" i="20" s="1"/>
  <c r="P23" i="20"/>
  <c r="AK23" i="20" s="1"/>
  <c r="H27" i="20"/>
  <c r="Q28" i="20"/>
  <c r="B2" i="20"/>
  <c r="G11" i="20"/>
  <c r="AB11" i="20" s="1"/>
  <c r="AG43" i="20" s="1"/>
  <c r="G17" i="20"/>
  <c r="AB17" i="20" s="1"/>
  <c r="AG49" i="20" s="1"/>
  <c r="M49" i="20"/>
  <c r="S49" i="20" s="1"/>
  <c r="U42" i="20"/>
  <c r="U45" i="20"/>
  <c r="C40" i="20"/>
  <c r="H28" i="20"/>
  <c r="G10" i="20"/>
  <c r="AB10" i="20" s="1"/>
  <c r="AG42" i="20" s="1"/>
  <c r="G16" i="20"/>
  <c r="AB16" i="20" s="1"/>
  <c r="AG48" i="20" s="1"/>
  <c r="G14" i="20"/>
  <c r="AB14" i="20" s="1"/>
  <c r="AG46" i="20" s="1"/>
  <c r="G15" i="20"/>
  <c r="AB15" i="20" s="1"/>
  <c r="AG47" i="20" s="1"/>
  <c r="G12" i="20"/>
  <c r="AB12" i="20" s="1"/>
  <c r="AG44" i="20" s="1"/>
  <c r="M42" i="20"/>
  <c r="G13" i="20"/>
  <c r="AB13" i="20" s="1"/>
  <c r="AG45" i="20" s="1"/>
  <c r="G28" i="20"/>
  <c r="K29" i="20"/>
  <c r="F27" i="20"/>
  <c r="K26" i="20"/>
  <c r="K24" i="20"/>
  <c r="F28" i="20"/>
  <c r="K23" i="20"/>
  <c r="E27" i="20"/>
  <c r="I27" i="20"/>
  <c r="S43" i="20"/>
  <c r="K25" i="20"/>
  <c r="L49" i="20" l="1"/>
  <c r="P49" i="20" s="1"/>
  <c r="L43" i="20"/>
  <c r="V66" i="23"/>
  <c r="U67" i="23"/>
  <c r="V67" i="23" s="1"/>
  <c r="AH53" i="20"/>
  <c r="AN42" i="20"/>
  <c r="AN53" i="20" s="1"/>
  <c r="AP43" i="20" s="1"/>
  <c r="AI45" i="20"/>
  <c r="AK45" i="20"/>
  <c r="AL45" i="20" s="1"/>
  <c r="AI46" i="20"/>
  <c r="AK46" i="20"/>
  <c r="AL46" i="20" s="1"/>
  <c r="AI44" i="20"/>
  <c r="AK44" i="20"/>
  <c r="AL44" i="20" s="1"/>
  <c r="AI42" i="20"/>
  <c r="AK42" i="20"/>
  <c r="AL42" i="20" s="1"/>
  <c r="N43" i="20"/>
  <c r="P43" i="20"/>
  <c r="Q43" i="20" s="1"/>
  <c r="AK49" i="20"/>
  <c r="AL49" i="20" s="1"/>
  <c r="AI49" i="20"/>
  <c r="AI48" i="20"/>
  <c r="AK48" i="20"/>
  <c r="AL48" i="20" s="1"/>
  <c r="AK47" i="20"/>
  <c r="AL47" i="20" s="1"/>
  <c r="AI47" i="20"/>
  <c r="AK43" i="20"/>
  <c r="AL43" i="20" s="1"/>
  <c r="AI43" i="20"/>
  <c r="N49" i="20"/>
  <c r="K28" i="20"/>
  <c r="L45" i="20"/>
  <c r="L46" i="20"/>
  <c r="L48" i="20"/>
  <c r="Q49" i="20"/>
  <c r="L44" i="20"/>
  <c r="C70" i="20"/>
  <c r="L47" i="20"/>
  <c r="L42" i="20"/>
  <c r="M53" i="20"/>
  <c r="S42" i="20"/>
  <c r="K27" i="20"/>
  <c r="U68" i="23" l="1"/>
  <c r="V68" i="23" s="1"/>
  <c r="V69" i="23" s="1"/>
  <c r="AH34" i="20"/>
  <c r="X59" i="20" s="1"/>
  <c r="AP46" i="20"/>
  <c r="P47" i="20"/>
  <c r="Q47" i="20" s="1"/>
  <c r="N48" i="20"/>
  <c r="P48" i="20"/>
  <c r="Q48" i="20" s="1"/>
  <c r="N45" i="20"/>
  <c r="P45" i="20"/>
  <c r="Q45" i="20" s="1"/>
  <c r="P42" i="20"/>
  <c r="Q42" i="20" s="1"/>
  <c r="P46" i="20"/>
  <c r="Q46" i="20" s="1"/>
  <c r="AI53" i="20"/>
  <c r="N44" i="20"/>
  <c r="P44" i="20"/>
  <c r="Q44" i="20" s="1"/>
  <c r="C53" i="20"/>
  <c r="N46" i="20"/>
  <c r="N47" i="20"/>
  <c r="N42" i="20"/>
  <c r="U69" i="23" l="1"/>
  <c r="V70" i="23" s="1"/>
  <c r="N53" i="20"/>
  <c r="X45" i="23" l="1"/>
  <c r="X48" i="23" s="1"/>
  <c r="P52" i="23" l="1"/>
  <c r="R52" i="23" s="1"/>
  <c r="R54" i="23" s="1"/>
  <c r="X50" i="23" s="1"/>
  <c r="H19" i="20"/>
  <c r="X52" i="23" l="1"/>
  <c r="X57" i="23"/>
  <c r="C57" i="23" s="1"/>
  <c r="AC19" i="20"/>
  <c r="AK51" i="20" s="1"/>
  <c r="AL51" i="20" s="1"/>
  <c r="AL53" i="20" s="1"/>
  <c r="AP49" i="20" s="1"/>
  <c r="P51" i="20"/>
  <c r="Q51" i="20" s="1"/>
  <c r="Q53" i="20" s="1"/>
  <c r="U49" i="20" s="1"/>
  <c r="X54" i="23" l="1"/>
  <c r="C58" i="23" s="1"/>
  <c r="R47" i="20"/>
  <c r="S47" i="20" s="1"/>
  <c r="R46" i="20"/>
  <c r="S46" i="20" s="1"/>
  <c r="R45" i="20"/>
  <c r="S45" i="20" s="1"/>
  <c r="R44" i="20"/>
  <c r="S44" i="20" s="1"/>
  <c r="S53" i="20" l="1"/>
  <c r="U43" i="20" s="1"/>
  <c r="M34" i="20" s="1"/>
  <c r="U46" i="20" l="1"/>
  <c r="C59" i="20"/>
  <c r="N11" i="20" l="1"/>
  <c r="AI11" i="20" s="1"/>
  <c r="AP44" i="20" s="1"/>
  <c r="AP47" i="20" l="1"/>
  <c r="AP51" i="20" s="1"/>
  <c r="AP53" i="20" s="1"/>
  <c r="X57" i="20" s="1"/>
  <c r="AP56" i="20"/>
  <c r="X56" i="20" s="1"/>
  <c r="N12" i="20"/>
  <c r="AI12" i="20" s="1"/>
  <c r="U44" i="20"/>
  <c r="U47" i="20" s="1"/>
  <c r="U51" i="20" s="1"/>
  <c r="U53" i="20" s="1"/>
  <c r="C57" i="20" s="1"/>
  <c r="N13" i="20" l="1"/>
  <c r="AI13" i="20" s="1"/>
  <c r="U56" i="20"/>
  <c r="C56" i="20" s="1"/>
</calcChain>
</file>

<file path=xl/sharedStrings.xml><?xml version="1.0" encoding="utf-8"?>
<sst xmlns="http://schemas.openxmlformats.org/spreadsheetml/2006/main" count="452" uniqueCount="143">
  <si>
    <t>Morning</t>
  </si>
  <si>
    <t>Afternoon</t>
  </si>
  <si>
    <t>School Day</t>
  </si>
  <si>
    <t>hours</t>
  </si>
  <si>
    <t>Full Day</t>
  </si>
  <si>
    <t>Early Start</t>
  </si>
  <si>
    <t>Late Finish</t>
  </si>
  <si>
    <t>Sunrise</t>
  </si>
  <si>
    <t>Sunset</t>
  </si>
  <si>
    <t>End</t>
  </si>
  <si>
    <t>Start</t>
  </si>
  <si>
    <t>Lunch</t>
  </si>
  <si>
    <t>Weekly Cost</t>
  </si>
  <si>
    <t>Funding Rate</t>
  </si>
  <si>
    <t>Effective From</t>
  </si>
  <si>
    <t>Session</t>
  </si>
  <si>
    <t>n/a</t>
  </si>
  <si>
    <t>Max. funding /year</t>
  </si>
  <si>
    <t>Cooked Lunch</t>
  </si>
  <si>
    <t>Sibling</t>
  </si>
  <si>
    <t>Cost</t>
  </si>
  <si>
    <t>DATA</t>
  </si>
  <si>
    <t>Max funding/ session</t>
  </si>
  <si>
    <t>Funding</t>
  </si>
  <si>
    <t>None</t>
  </si>
  <si>
    <t>funding is available to all 3 &amp; 4 year olds and qualifying 2 year olds.</t>
  </si>
  <si>
    <t>2 yr old (15hr)</t>
  </si>
  <si>
    <t>funding for 2 year olds is available from the term after your child's 2nd birthday, and for qualifying children only.</t>
  </si>
  <si>
    <t>3&amp;4 yr old (15hr)</t>
  </si>
  <si>
    <t>funding for 3 and 4 year olds is available from the term after your child's 3rd birthday.</t>
  </si>
  <si>
    <t>3&amp;4 yr old (30hr)</t>
  </si>
  <si>
    <t>30hr funding for 3 and 4 year olds is available from the term after your child's 3rd birthday, and only for eligible children.</t>
  </si>
  <si>
    <t>Nursery</t>
  </si>
  <si>
    <t>YS Brighton</t>
  </si>
  <si>
    <t>Sunrise and Sunset sessions only available at Brighton</t>
  </si>
  <si>
    <t>YS Hove</t>
  </si>
  <si>
    <t>YS Shoreham</t>
  </si>
  <si>
    <t>Hourly Rate</t>
  </si>
  <si>
    <t>Attendance</t>
  </si>
  <si>
    <t>Max funding /week</t>
  </si>
  <si>
    <t>Max funding weeks</t>
  </si>
  <si>
    <t>Annual Attendance</t>
  </si>
  <si>
    <t>Check for concurrent sessions</t>
  </si>
  <si>
    <t>All Year</t>
  </si>
  <si>
    <t>Early</t>
  </si>
  <si>
    <t>Term Time Only</t>
  </si>
  <si>
    <t>AM &amp; PM</t>
  </si>
  <si>
    <t>Main</t>
  </si>
  <si>
    <t>Not available at Shoreham</t>
  </si>
  <si>
    <t>Fees are not payable when the nursery is closed for Bank Holidays and between Christmas and New Year, resulting in a lower than average monthly invoice.</t>
  </si>
  <si>
    <t>Late</t>
  </si>
  <si>
    <t>Please Select a Full Day session instead</t>
  </si>
  <si>
    <t>Fees are not payable during the main school holidays or when the nursery is closed for Bank Holidays, resulting in a lower than average monthly invoice.</t>
  </si>
  <si>
    <t>Main selected AM</t>
  </si>
  <si>
    <t>Please do not select concurrent sessions</t>
  </si>
  <si>
    <t>Main selected PM</t>
  </si>
  <si>
    <t>Please select a Core Session to attend the Add-on</t>
  </si>
  <si>
    <t>Afternoon Lunch</t>
  </si>
  <si>
    <t>Lunch is not available during Afternoon Sessions</t>
  </si>
  <si>
    <t>You are not claiming any funding</t>
  </si>
  <si>
    <t>hrs/ session</t>
  </si>
  <si>
    <t>sessions/wk</t>
  </si>
  <si>
    <t>hrs/wk</t>
  </si>
  <si>
    <t>Cost/ session</t>
  </si>
  <si>
    <t>Total Weekly Cost</t>
  </si>
  <si>
    <t>funding/ session type</t>
  </si>
  <si>
    <t>Mon</t>
  </si>
  <si>
    <t>Tue</t>
  </si>
  <si>
    <t>Wed</t>
  </si>
  <si>
    <t>Thu</t>
  </si>
  <si>
    <t>Fri</t>
  </si>
  <si>
    <t>eligible for 30hr</t>
  </si>
  <si>
    <t>Max weekly funding</t>
  </si>
  <si>
    <t>Actual funding</t>
  </si>
  <si>
    <t>Funding weeks</t>
  </si>
  <si>
    <t>Annual Funding hours</t>
  </si>
  <si>
    <t>Annual Funding value</t>
  </si>
  <si>
    <t>Annual unfunded cost</t>
  </si>
  <si>
    <t>Annual cost after funding</t>
  </si>
  <si>
    <t>Average Monthly Cost</t>
  </si>
  <si>
    <t>*Notes on Calculations</t>
  </si>
  <si>
    <t>•</t>
  </si>
  <si>
    <t>The weekly childcare cost assumes that any funding claimed is applied in full for the week.</t>
  </si>
  <si>
    <t>The monthly cost is the total annual cost spread over 12 equal months.</t>
  </si>
  <si>
    <t>Actual monthly invoices will vary to reflect the number of sessions attended in the month and any funding variations (see below):</t>
  </si>
  <si>
    <t>Comparison Cost</t>
  </si>
  <si>
    <t>• To compare costs, enter an alternative attendance pattern below.
• The nursery will be preselected, but all other options must be re-entered.</t>
  </si>
  <si>
    <t>• Select your preferred Nursery, Attendance and Funding entitlement
from the drop-down menus below.
• Mark each session that you wish to attend during the week
(any key/letter with work, including the space bar).
• You will be notified of any permutations that are not possible.
• Weekly and Monthly fee estimates will be shown in the green box.</t>
  </si>
  <si>
    <t>Qty</t>
  </si>
  <si>
    <t>Fee Rate</t>
  </si>
  <si>
    <t>Standard</t>
  </si>
  <si>
    <t>A discount of 5% is awarded to the eldest of two siblings</t>
  </si>
  <si>
    <t>Discount on hourly rate</t>
  </si>
  <si>
    <t>Note Different Formula for Sliding Scale/Sibling Discount</t>
  </si>
  <si>
    <t>Hourly Cost</t>
  </si>
  <si>
    <t>Funded Rate</t>
  </si>
  <si>
    <t>Funding Rate Ranking</t>
  </si>
  <si>
    <t>Rank</t>
  </si>
  <si>
    <t>Rate</t>
  </si>
  <si>
    <t>Max</t>
  </si>
  <si>
    <t>Funding Deduction Calculation</t>
  </si>
  <si>
    <t>Value</t>
  </si>
  <si>
    <t>Average hrly funding rate</t>
  </si>
  <si>
    <t>2 yr old (30hr)</t>
  </si>
  <si>
    <t>9 mth old (15hr)</t>
  </si>
  <si>
    <t>9 mth old (30hr)</t>
  </si>
  <si>
    <t>funding is available to all 3 &amp; 4 year olds and qualifying 2 year olds (and from September 2024, qualifying 9 mth olds)</t>
  </si>
  <si>
    <t>funding for 9 month olds is available from the term after your child turns 9 months, and for qualifying children only.</t>
  </si>
  <si>
    <t>30hr funding for 3 and 4 year olds is available from the term after your child's 3rd birthday, and only for qualifying children.</t>
  </si>
  <si>
    <t>NB: Sunrise &amp; Sunset sessions are only available at Brighton</t>
  </si>
  <si>
    <t>Apr 2024</t>
  </si>
  <si>
    <t>Sep 2025</t>
  </si>
  <si>
    <t>Sep 2024</t>
  </si>
  <si>
    <t>sessions/ wk</t>
  </si>
  <si>
    <t>Times</t>
  </si>
  <si>
    <t>Sibling Discount</t>
  </si>
  <si>
    <t>Sess Select</t>
  </si>
  <si>
    <t>X</t>
  </si>
  <si>
    <t>Months of Attendance</t>
  </si>
  <si>
    <t>Funding Months</t>
  </si>
  <si>
    <t>Anniversary</t>
  </si>
  <si>
    <t>Term</t>
  </si>
  <si>
    <t>Start Month</t>
  </si>
  <si>
    <t>Abbr.</t>
  </si>
  <si>
    <t>Spring</t>
  </si>
  <si>
    <t>Summer</t>
  </si>
  <si>
    <t>Autumn</t>
  </si>
  <si>
    <t>Date of Birth</t>
  </si>
  <si>
    <t>Funding Type</t>
  </si>
  <si>
    <t>First Term Eligible</t>
  </si>
  <si>
    <t>9 month</t>
  </si>
  <si>
    <t xml:space="preserve">  Qualifying children</t>
  </si>
  <si>
    <t>2 year</t>
  </si>
  <si>
    <t>3 &amp; 4 year</t>
  </si>
  <si>
    <t xml:space="preserve">  All Children</t>
  </si>
  <si>
    <t>Check here to see if you qualify:</t>
  </si>
  <si>
    <t>www.gov.uk/get-free-childcare-if-youre-working</t>
  </si>
  <si>
    <t>Funding Eligiblity</t>
  </si>
  <si>
    <t>Session Times</t>
  </si>
  <si>
    <t>Option 1</t>
  </si>
  <si>
    <t>Option 2</t>
  </si>
  <si>
    <t>• Select your preferred Nursery, Attendance and Funding entitlement from the drop-down menus below.
• Select (or type) 'X' for each session that you wish to attend during the week.
• You will be notified of any permutations that are not possible.
• Weekly and Monthly fee estimates will be shown in the green box.
• Enter your Child's Date of Birth in the bottom left box for Funding Term Eligibility Dates</t>
  </si>
  <si>
    <t>By entering your child's date of birth below, you can see in which term you will be eligible to start receiving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</si>
</sst>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"/>
    <numFmt numFmtId="165" formatCode="[$-409]h:mm\ AM/PM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Century Gothic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u/>
      <sz val="10"/>
      <color rgb="FF336699"/>
      <name val="Arial"/>
      <family val="2"/>
    </font>
    <font>
      <sz val="10"/>
      <color rgb="FF33669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BB3C2"/>
        <bgColor indexed="64"/>
      </patternFill>
    </fill>
    <fill>
      <patternFill patternType="solid">
        <fgColor rgb="FFE0E7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42">
    <xf numFmtId="0" fontId="0" fillId="0" borderId="0" xfId="0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3" fillId="0" borderId="15" xfId="5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44" fontId="11" fillId="0" borderId="0" xfId="1" applyFont="1"/>
    <xf numFmtId="0" fontId="10" fillId="0" borderId="15" xfId="0" applyFont="1" applyBorder="1" applyAlignment="1">
      <alignment horizontal="center"/>
    </xf>
    <xf numFmtId="44" fontId="10" fillId="0" borderId="15" xfId="1" applyFont="1" applyBorder="1"/>
    <xf numFmtId="0" fontId="10" fillId="8" borderId="0" xfId="0" applyFont="1" applyFill="1" applyAlignment="1">
      <alignment horizontal="left"/>
    </xf>
    <xf numFmtId="0" fontId="10" fillId="0" borderId="14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5" applyFont="1" applyAlignment="1">
      <alignment horizontal="center" vertical="center" wrapText="1"/>
    </xf>
    <xf numFmtId="0" fontId="10" fillId="4" borderId="15" xfId="0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8" borderId="0" xfId="0" applyFont="1" applyFill="1"/>
    <xf numFmtId="0" fontId="10" fillId="0" borderId="3" xfId="0" applyFont="1" applyBorder="1"/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0" fontId="10" fillId="0" borderId="5" xfId="0" applyFont="1" applyBorder="1"/>
    <xf numFmtId="0" fontId="8" fillId="0" borderId="0" xfId="0" applyFont="1" applyAlignment="1">
      <alignment horizontal="right" vertical="center"/>
    </xf>
    <xf numFmtId="0" fontId="10" fillId="8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6" xfId="0" applyFont="1" applyBorder="1"/>
    <xf numFmtId="0" fontId="9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8" fillId="0" borderId="0" xfId="0" applyFont="1" applyAlignment="1">
      <alignment horizontal="right" vertical="center" wrapText="1"/>
    </xf>
    <xf numFmtId="0" fontId="8" fillId="0" borderId="6" xfId="0" applyFont="1" applyBorder="1" applyAlignment="1">
      <alignment horizontal="center" wrapText="1"/>
    </xf>
    <xf numFmtId="0" fontId="12" fillId="9" borderId="22" xfId="0" applyFont="1" applyFill="1" applyBorder="1" applyAlignment="1" applyProtection="1">
      <alignment horizontal="center" vertical="center"/>
      <protection locked="0"/>
    </xf>
    <xf numFmtId="0" fontId="12" fillId="9" borderId="23" xfId="0" applyFont="1" applyFill="1" applyBorder="1" applyAlignment="1" applyProtection="1">
      <alignment horizontal="center" vertical="center"/>
      <protection locked="0"/>
    </xf>
    <xf numFmtId="0" fontId="12" fillId="9" borderId="24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9" fontId="10" fillId="0" borderId="0" xfId="2" applyFont="1" applyAlignment="1">
      <alignment horizontal="center"/>
    </xf>
    <xf numFmtId="44" fontId="10" fillId="0" borderId="0" xfId="1" applyFont="1"/>
    <xf numFmtId="44" fontId="10" fillId="0" borderId="0" xfId="0" applyNumberFormat="1" applyFont="1"/>
    <xf numFmtId="0" fontId="12" fillId="9" borderId="25" xfId="0" applyFont="1" applyFill="1" applyBorder="1" applyAlignment="1" applyProtection="1">
      <alignment horizontal="center" vertical="center"/>
      <protection locked="0"/>
    </xf>
    <xf numFmtId="0" fontId="12" fillId="9" borderId="18" xfId="0" applyFont="1" applyFill="1" applyBorder="1" applyAlignment="1" applyProtection="1">
      <alignment horizontal="center" vertical="center"/>
      <protection locked="0"/>
    </xf>
    <xf numFmtId="0" fontId="12" fillId="9" borderId="26" xfId="0" applyFont="1" applyFill="1" applyBorder="1" applyAlignment="1" applyProtection="1">
      <alignment horizontal="center" vertical="center"/>
      <protection locked="0"/>
    </xf>
    <xf numFmtId="2" fontId="10" fillId="0" borderId="15" xfId="0" applyNumberFormat="1" applyFont="1" applyBorder="1" applyAlignment="1">
      <alignment horizontal="center"/>
    </xf>
    <xf numFmtId="0" fontId="12" fillId="9" borderId="27" xfId="0" applyFont="1" applyFill="1" applyBorder="1" applyAlignment="1" applyProtection="1">
      <alignment horizontal="center" vertical="center"/>
      <protection locked="0"/>
    </xf>
    <xf numFmtId="0" fontId="12" fillId="9" borderId="15" xfId="0" applyFont="1" applyFill="1" applyBorder="1" applyAlignment="1" applyProtection="1">
      <alignment horizontal="center" vertical="center"/>
      <protection locked="0"/>
    </xf>
    <xf numFmtId="0" fontId="12" fillId="9" borderId="28" xfId="0" applyFont="1" applyFill="1" applyBorder="1" applyAlignment="1" applyProtection="1">
      <alignment horizontal="center" vertical="center"/>
      <protection locked="0"/>
    </xf>
    <xf numFmtId="164" fontId="10" fillId="0" borderId="15" xfId="0" applyNumberFormat="1" applyFont="1" applyBorder="1" applyAlignment="1">
      <alignment horizontal="center"/>
    </xf>
    <xf numFmtId="0" fontId="12" fillId="9" borderId="29" xfId="0" applyFont="1" applyFill="1" applyBorder="1" applyAlignment="1" applyProtection="1">
      <alignment horizontal="center" vertical="center"/>
      <protection locked="0"/>
    </xf>
    <xf numFmtId="0" fontId="12" fillId="9" borderId="30" xfId="0" applyFont="1" applyFill="1" applyBorder="1" applyAlignment="1" applyProtection="1">
      <alignment horizontal="center" vertical="center"/>
      <protection locked="0"/>
    </xf>
    <xf numFmtId="0" fontId="12" fillId="9" borderId="3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44" fontId="10" fillId="0" borderId="15" xfId="0" applyNumberFormat="1" applyFont="1" applyBorder="1"/>
    <xf numFmtId="0" fontId="12" fillId="9" borderId="32" xfId="0" applyFont="1" applyFill="1" applyBorder="1" applyAlignment="1" applyProtection="1">
      <alignment horizontal="center" vertical="center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0" fontId="12" fillId="9" borderId="33" xfId="0" applyFont="1" applyFill="1" applyBorder="1" applyAlignment="1" applyProtection="1">
      <alignment horizontal="center" vertical="center"/>
      <protection locked="0"/>
    </xf>
    <xf numFmtId="0" fontId="12" fillId="9" borderId="34" xfId="0" applyFont="1" applyFill="1" applyBorder="1" applyAlignment="1" applyProtection="1">
      <alignment horizontal="center" vertical="center"/>
      <protection locked="0"/>
    </xf>
    <xf numFmtId="0" fontId="12" fillId="9" borderId="12" xfId="0" applyFont="1" applyFill="1" applyBorder="1" applyAlignment="1" applyProtection="1">
      <alignment horizontal="center" vertical="center"/>
      <protection locked="0"/>
    </xf>
    <xf numFmtId="0" fontId="12" fillId="9" borderId="35" xfId="0" applyFont="1" applyFill="1" applyBorder="1" applyAlignment="1" applyProtection="1">
      <alignment horizontal="center" vertical="center"/>
      <protection locked="0"/>
    </xf>
    <xf numFmtId="44" fontId="10" fillId="0" borderId="15" xfId="0" applyNumberFormat="1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44" fontId="10" fillId="0" borderId="11" xfId="0" applyNumberFormat="1" applyFont="1" applyBorder="1"/>
    <xf numFmtId="44" fontId="14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5" fillId="0" borderId="5" xfId="0" applyFont="1" applyBorder="1" applyAlignment="1">
      <alignment horizontal="right" vertical="top"/>
    </xf>
    <xf numFmtId="0" fontId="9" fillId="0" borderId="6" xfId="0" applyFont="1" applyBorder="1" applyAlignment="1">
      <alignment horizontal="left" wrapText="1"/>
    </xf>
    <xf numFmtId="0" fontId="16" fillId="0" borderId="6" xfId="0" applyFont="1" applyBorder="1" applyAlignment="1">
      <alignment horizontal="center" wrapText="1"/>
    </xf>
    <xf numFmtId="0" fontId="10" fillId="0" borderId="7" xfId="0" applyFont="1" applyBorder="1"/>
    <xf numFmtId="0" fontId="16" fillId="0" borderId="8" xfId="0" applyFont="1" applyBorder="1" applyAlignment="1">
      <alignment horizontal="center" wrapText="1"/>
    </xf>
    <xf numFmtId="165" fontId="10" fillId="0" borderId="0" xfId="0" applyNumberFormat="1" applyFont="1" applyAlignment="1">
      <alignment horizontal="center"/>
    </xf>
    <xf numFmtId="165" fontId="10" fillId="0" borderId="14" xfId="0" applyNumberFormat="1" applyFont="1" applyBorder="1" applyAlignment="1">
      <alignment horizontal="center"/>
    </xf>
    <xf numFmtId="44" fontId="11" fillId="0" borderId="17" xfId="1" applyFont="1" applyFill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10" fillId="0" borderId="14" xfId="0" applyFont="1" applyBorder="1"/>
    <xf numFmtId="44" fontId="8" fillId="0" borderId="17" xfId="1" applyFont="1" applyFill="1" applyBorder="1"/>
    <xf numFmtId="44" fontId="8" fillId="0" borderId="15" xfId="1" applyFont="1" applyFill="1" applyBorder="1"/>
    <xf numFmtId="2" fontId="3" fillId="0" borderId="15" xfId="5" applyNumberFormat="1" applyFont="1" applyBorder="1" applyAlignment="1">
      <alignment horizontal="center"/>
    </xf>
    <xf numFmtId="164" fontId="8" fillId="0" borderId="15" xfId="5" applyNumberFormat="1" applyFont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5" borderId="0" xfId="0" applyFont="1" applyFill="1" applyAlignment="1">
      <alignment horizontal="right"/>
    </xf>
    <xf numFmtId="0" fontId="10" fillId="5" borderId="0" xfId="0" applyFont="1" applyFill="1"/>
    <xf numFmtId="0" fontId="14" fillId="5" borderId="0" xfId="0" applyFont="1" applyFill="1" applyAlignment="1">
      <alignment horizontal="center"/>
    </xf>
    <xf numFmtId="0" fontId="11" fillId="0" borderId="16" xfId="1" applyNumberFormat="1" applyFont="1" applyBorder="1" applyAlignment="1">
      <alignment horizontal="center"/>
    </xf>
    <xf numFmtId="0" fontId="11" fillId="0" borderId="13" xfId="1" applyNumberFormat="1" applyFont="1" applyBorder="1" applyAlignment="1">
      <alignment horizontal="center"/>
    </xf>
    <xf numFmtId="44" fontId="11" fillId="0" borderId="10" xfId="1" applyFont="1" applyBorder="1" applyAlignment="1">
      <alignment horizontal="center"/>
    </xf>
    <xf numFmtId="44" fontId="11" fillId="0" borderId="10" xfId="1" applyFont="1" applyFill="1" applyBorder="1" applyAlignment="1">
      <alignment horizontal="center"/>
    </xf>
    <xf numFmtId="44" fontId="8" fillId="0" borderId="0" xfId="1" applyFont="1" applyFill="1" applyBorder="1"/>
    <xf numFmtId="0" fontId="10" fillId="11" borderId="15" xfId="0" applyFont="1" applyFill="1" applyBorder="1" applyAlignment="1">
      <alignment horizontal="center"/>
    </xf>
    <xf numFmtId="9" fontId="10" fillId="12" borderId="19" xfId="2" applyFont="1" applyFill="1" applyBorder="1" applyAlignment="1">
      <alignment horizontal="center"/>
    </xf>
    <xf numFmtId="44" fontId="10" fillId="12" borderId="36" xfId="1" applyFont="1" applyFill="1" applyBorder="1"/>
    <xf numFmtId="9" fontId="10" fillId="12" borderId="16" xfId="2" applyFont="1" applyFill="1" applyBorder="1" applyAlignment="1">
      <alignment horizontal="center"/>
    </xf>
    <xf numFmtId="44" fontId="10" fillId="12" borderId="9" xfId="1" applyFont="1" applyFill="1" applyBorder="1"/>
    <xf numFmtId="0" fontId="10" fillId="12" borderId="0" xfId="0" applyFont="1" applyFill="1" applyAlignment="1">
      <alignment horizontal="center"/>
    </xf>
    <xf numFmtId="44" fontId="10" fillId="0" borderId="0" xfId="1" applyFont="1" applyBorder="1"/>
    <xf numFmtId="0" fontId="10" fillId="0" borderId="37" xfId="0" applyFont="1" applyBorder="1" applyAlignment="1">
      <alignment horizontal="center"/>
    </xf>
    <xf numFmtId="9" fontId="10" fillId="0" borderId="37" xfId="2" applyFont="1" applyBorder="1" applyAlignment="1">
      <alignment horizontal="center"/>
    </xf>
    <xf numFmtId="44" fontId="10" fillId="0" borderId="37" xfId="1" applyFont="1" applyBorder="1"/>
    <xf numFmtId="44" fontId="10" fillId="0" borderId="37" xfId="0" applyNumberFormat="1" applyFont="1" applyBorder="1"/>
    <xf numFmtId="44" fontId="10" fillId="0" borderId="37" xfId="0" applyNumberFormat="1" applyFont="1" applyBorder="1" applyAlignment="1">
      <alignment horizontal="center"/>
    </xf>
    <xf numFmtId="9" fontId="10" fillId="0" borderId="0" xfId="2" applyFont="1" applyBorder="1" applyAlignment="1">
      <alignment horizontal="center"/>
    </xf>
    <xf numFmtId="44" fontId="10" fillId="0" borderId="0" xfId="0" applyNumberFormat="1" applyFont="1" applyAlignment="1">
      <alignment horizontal="center"/>
    </xf>
    <xf numFmtId="44" fontId="10" fillId="0" borderId="14" xfId="1" applyFont="1" applyBorder="1"/>
    <xf numFmtId="44" fontId="10" fillId="0" borderId="14" xfId="0" applyNumberFormat="1" applyFont="1" applyBorder="1"/>
    <xf numFmtId="44" fontId="10" fillId="0" borderId="14" xfId="0" applyNumberFormat="1" applyFont="1" applyBorder="1" applyAlignment="1">
      <alignment horizontal="center"/>
    </xf>
    <xf numFmtId="44" fontId="10" fillId="0" borderId="0" xfId="1" applyFont="1" applyAlignment="1">
      <alignment horizontal="center"/>
    </xf>
    <xf numFmtId="1" fontId="10" fillId="0" borderId="37" xfId="1" applyNumberFormat="1" applyFont="1" applyBorder="1" applyAlignment="1">
      <alignment horizontal="center"/>
    </xf>
    <xf numFmtId="1" fontId="10" fillId="0" borderId="0" xfId="1" applyNumberFormat="1" applyFont="1" applyBorder="1" applyAlignment="1">
      <alignment horizontal="center"/>
    </xf>
    <xf numFmtId="1" fontId="10" fillId="0" borderId="14" xfId="1" applyNumberFormat="1" applyFont="1" applyBorder="1" applyAlignment="1">
      <alignment horizontal="center"/>
    </xf>
    <xf numFmtId="44" fontId="10" fillId="0" borderId="0" xfId="0" applyNumberFormat="1" applyFont="1" applyAlignment="1">
      <alignment horizontal="right" vertical="center"/>
    </xf>
    <xf numFmtId="44" fontId="10" fillId="0" borderId="15" xfId="1" applyFont="1" applyFill="1" applyBorder="1"/>
    <xf numFmtId="0" fontId="10" fillId="0" borderId="0" xfId="0" quotePrefix="1" applyFont="1" applyAlignment="1">
      <alignment horizontal="center"/>
    </xf>
    <xf numFmtId="17" fontId="10" fillId="0" borderId="0" xfId="0" quotePrefix="1" applyNumberFormat="1" applyFont="1" applyAlignment="1">
      <alignment horizontal="center"/>
    </xf>
    <xf numFmtId="9" fontId="8" fillId="2" borderId="15" xfId="4" applyNumberFormat="1" applyFont="1" applyFill="1" applyBorder="1" applyAlignment="1">
      <alignment horizontal="center"/>
    </xf>
    <xf numFmtId="44" fontId="8" fillId="2" borderId="15" xfId="1" applyFont="1" applyFill="1" applyBorder="1"/>
    <xf numFmtId="164" fontId="10" fillId="8" borderId="9" xfId="0" applyNumberFormat="1" applyFont="1" applyFill="1" applyBorder="1" applyAlignment="1">
      <alignment horizontal="center"/>
    </xf>
    <xf numFmtId="2" fontId="3" fillId="8" borderId="15" xfId="5" applyNumberFormat="1" applyFont="1" applyFill="1" applyBorder="1" applyAlignment="1">
      <alignment horizontal="center"/>
    </xf>
    <xf numFmtId="0" fontId="3" fillId="8" borderId="15" xfId="5" applyFont="1" applyFill="1" applyBorder="1" applyAlignment="1">
      <alignment horizontal="center"/>
    </xf>
    <xf numFmtId="44" fontId="10" fillId="5" borderId="36" xfId="1" applyFont="1" applyFill="1" applyBorder="1"/>
    <xf numFmtId="44" fontId="10" fillId="5" borderId="9" xfId="1" applyFont="1" applyFill="1" applyBorder="1"/>
    <xf numFmtId="0" fontId="10" fillId="5" borderId="0" xfId="0" applyFont="1" applyFill="1" applyAlignment="1">
      <alignment horizontal="center"/>
    </xf>
    <xf numFmtId="9" fontId="10" fillId="6" borderId="19" xfId="2" applyFont="1" applyFill="1" applyBorder="1" applyAlignment="1">
      <alignment horizontal="center"/>
    </xf>
    <xf numFmtId="9" fontId="10" fillId="6" borderId="16" xfId="2" applyFont="1" applyFill="1" applyBorder="1" applyAlignment="1">
      <alignment horizontal="center"/>
    </xf>
    <xf numFmtId="0" fontId="10" fillId="0" borderId="15" xfId="0" applyFont="1" applyBorder="1"/>
    <xf numFmtId="2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left"/>
    </xf>
    <xf numFmtId="0" fontId="18" fillId="8" borderId="0" xfId="0" applyFont="1" applyFill="1" applyAlignment="1">
      <alignment vertical="top"/>
    </xf>
    <xf numFmtId="0" fontId="8" fillId="8" borderId="15" xfId="0" applyFont="1" applyFill="1" applyBorder="1" applyAlignment="1">
      <alignment horizontal="center"/>
    </xf>
    <xf numFmtId="44" fontId="8" fillId="2" borderId="15" xfId="0" applyNumberFormat="1" applyFont="1" applyFill="1" applyBorder="1"/>
    <xf numFmtId="0" fontId="10" fillId="0" borderId="0" xfId="0" applyFont="1" applyAlignment="1">
      <alignment horizontal="center" vertical="center" wrapText="1"/>
    </xf>
    <xf numFmtId="0" fontId="12" fillId="9" borderId="20" xfId="0" applyFont="1" applyFill="1" applyBorder="1" applyAlignment="1" applyProtection="1">
      <alignment horizontal="center" vertical="center"/>
      <protection locked="0"/>
    </xf>
    <xf numFmtId="0" fontId="12" fillId="9" borderId="2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44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9" fillId="0" borderId="1" xfId="0" applyFont="1" applyBorder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7" fillId="7" borderId="0" xfId="0" applyFont="1" applyFill="1" applyAlignment="1">
      <alignment horizontal="center"/>
    </xf>
    <xf numFmtId="14" fontId="3" fillId="0" borderId="20" xfId="0" applyNumberFormat="1" applyFont="1" applyBorder="1" applyAlignment="1">
      <alignment horizontal="center"/>
    </xf>
    <xf numFmtId="14" fontId="3" fillId="0" borderId="21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10" borderId="0" xfId="0" applyFont="1" applyFill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14" fontId="3" fillId="2" borderId="20" xfId="0" applyNumberFormat="1" applyFont="1" applyFill="1" applyBorder="1" applyAlignment="1">
      <alignment horizontal="center"/>
    </xf>
    <xf numFmtId="14" fontId="3" fillId="2" borderId="2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14" fontId="10" fillId="0" borderId="15" xfId="0" applyNumberFormat="1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14" fontId="10" fillId="0" borderId="22" xfId="0" applyNumberFormat="1" applyFont="1" applyBorder="1" applyAlignment="1">
      <alignment horizontal="center"/>
    </xf>
    <xf numFmtId="14" fontId="10" fillId="0" borderId="23" xfId="0" applyNumberFormat="1" applyFont="1" applyBorder="1" applyAlignment="1">
      <alignment horizontal="center"/>
    </xf>
    <xf numFmtId="14" fontId="10" fillId="0" borderId="24" xfId="0" applyNumberFormat="1" applyFont="1" applyBorder="1" applyAlignment="1">
      <alignment horizontal="center"/>
    </xf>
    <xf numFmtId="14" fontId="10" fillId="0" borderId="27" xfId="0" applyNumberFormat="1" applyFont="1" applyBorder="1" applyAlignment="1">
      <alignment horizontal="center"/>
    </xf>
    <xf numFmtId="14" fontId="10" fillId="0" borderId="15" xfId="0" applyNumberFormat="1" applyFont="1" applyBorder="1" applyAlignment="1">
      <alignment horizontal="center"/>
    </xf>
    <xf numFmtId="14" fontId="10" fillId="0" borderId="28" xfId="0" applyNumberFormat="1" applyFont="1" applyBorder="1" applyAlignment="1">
      <alignment horizontal="center"/>
    </xf>
    <xf numFmtId="14" fontId="10" fillId="0" borderId="29" xfId="0" applyNumberFormat="1" applyFont="1" applyBorder="1" applyAlignment="1">
      <alignment horizontal="center"/>
    </xf>
    <xf numFmtId="14" fontId="10" fillId="0" borderId="30" xfId="0" applyNumberFormat="1" applyFont="1" applyBorder="1" applyAlignment="1">
      <alignment horizontal="center"/>
    </xf>
    <xf numFmtId="14" fontId="10" fillId="0" borderId="3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8" xfId="0" applyFont="1" applyBorder="1"/>
    <xf numFmtId="14" fontId="10" fillId="9" borderId="20" xfId="0" applyNumberFormat="1" applyFont="1" applyFill="1" applyBorder="1" applyAlignment="1" applyProtection="1">
      <alignment horizontal="center"/>
      <protection locked="0"/>
    </xf>
    <xf numFmtId="14" fontId="10" fillId="9" borderId="38" xfId="0" applyNumberFormat="1" applyFont="1" applyFill="1" applyBorder="1" applyAlignment="1" applyProtection="1">
      <alignment horizontal="center"/>
      <protection locked="0"/>
    </xf>
    <xf numFmtId="14" fontId="10" fillId="9" borderId="21" xfId="0" applyNumberFormat="1" applyFont="1" applyFill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14" fontId="3" fillId="0" borderId="20" xfId="0" applyNumberFormat="1" applyFont="1" applyFill="1" applyBorder="1" applyAlignment="1">
      <alignment horizontal="center"/>
    </xf>
    <xf numFmtId="14" fontId="3" fillId="0" borderId="21" xfId="0" applyNumberFormat="1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horizontal="center"/>
    </xf>
    <xf numFmtId="9" fontId="8" fillId="0" borderId="15" xfId="4" applyNumberFormat="1" applyFont="1" applyFill="1" applyBorder="1" applyAlignment="1">
      <alignment horizontal="center"/>
    </xf>
    <xf numFmtId="44" fontId="8" fillId="0" borderId="15" xfId="0" applyNumberFormat="1" applyFont="1" applyFill="1" applyBorder="1"/>
    <xf numFmtId="2" fontId="3" fillId="0" borderId="15" xfId="5" applyNumberFormat="1" applyFont="1" applyFill="1" applyBorder="1" applyAlignment="1">
      <alignment horizontal="center"/>
    </xf>
    <xf numFmtId="164" fontId="3" fillId="0" borderId="15" xfId="5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14" fontId="10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7" fillId="13" borderId="20" xfId="0" applyFont="1" applyFill="1" applyBorder="1" applyAlignment="1">
      <alignment horizontal="center"/>
    </xf>
    <xf numFmtId="0" fontId="7" fillId="13" borderId="38" xfId="0" applyFont="1" applyFill="1" applyBorder="1" applyAlignment="1">
      <alignment horizontal="center"/>
    </xf>
    <xf numFmtId="0" fontId="7" fillId="13" borderId="21" xfId="0" applyFont="1" applyFill="1" applyBorder="1" applyAlignment="1">
      <alignment horizontal="center"/>
    </xf>
    <xf numFmtId="0" fontId="10" fillId="0" borderId="3" xfId="0" applyFont="1" applyBorder="1" applyProtection="1"/>
    <xf numFmtId="0" fontId="10" fillId="0" borderId="2" xfId="0" applyFont="1" applyBorder="1" applyAlignment="1" applyProtection="1">
      <alignment horizontal="right"/>
    </xf>
    <xf numFmtId="0" fontId="10" fillId="0" borderId="2" xfId="0" applyFont="1" applyBorder="1" applyProtection="1"/>
    <xf numFmtId="0" fontId="10" fillId="0" borderId="4" xfId="0" applyFont="1" applyBorder="1" applyProtection="1"/>
    <xf numFmtId="0" fontId="10" fillId="0" borderId="5" xfId="0" applyFont="1" applyBorder="1" applyProtection="1"/>
    <xf numFmtId="0" fontId="6" fillId="3" borderId="0" xfId="0" applyFont="1" applyFill="1" applyAlignment="1" applyProtection="1">
      <alignment horizontal="center" wrapText="1"/>
    </xf>
    <xf numFmtId="0" fontId="10" fillId="0" borderId="6" xfId="0" applyFont="1" applyBorder="1" applyProtection="1"/>
    <xf numFmtId="0" fontId="10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wrapText="1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center" wrapText="1"/>
    </xf>
    <xf numFmtId="0" fontId="10" fillId="0" borderId="0" xfId="0" applyFont="1" applyProtection="1"/>
    <xf numFmtId="0" fontId="10" fillId="0" borderId="37" xfId="0" applyFont="1" applyBorder="1" applyAlignment="1" applyProtection="1">
      <alignment horizontal="right"/>
    </xf>
    <xf numFmtId="0" fontId="10" fillId="0" borderId="37" xfId="0" applyFont="1" applyFill="1" applyBorder="1" applyAlignment="1" applyProtection="1">
      <alignment horizontal="right"/>
    </xf>
    <xf numFmtId="0" fontId="10" fillId="0" borderId="37" xfId="0" applyFont="1" applyBorder="1" applyAlignment="1" applyProtection="1">
      <alignment horizontal="center" vertical="center"/>
    </xf>
    <xf numFmtId="0" fontId="10" fillId="0" borderId="37" xfId="0" applyFont="1" applyBorder="1" applyProtection="1"/>
    <xf numFmtId="0" fontId="10" fillId="0" borderId="37" xfId="0" applyFont="1" applyFill="1" applyBorder="1" applyProtection="1"/>
    <xf numFmtId="0" fontId="10" fillId="0" borderId="14" xfId="0" applyFont="1" applyBorder="1" applyAlignment="1" applyProtection="1">
      <alignment horizontal="right"/>
    </xf>
    <xf numFmtId="0" fontId="10" fillId="0" borderId="14" xfId="0" applyFont="1" applyFill="1" applyBorder="1" applyAlignment="1" applyProtection="1">
      <alignment horizontal="right"/>
    </xf>
    <xf numFmtId="0" fontId="10" fillId="0" borderId="14" xfId="0" applyFont="1" applyBorder="1" applyAlignment="1" applyProtection="1">
      <alignment horizontal="center" vertical="center"/>
    </xf>
    <xf numFmtId="0" fontId="10" fillId="0" borderId="14" xfId="0" applyFont="1" applyBorder="1" applyProtection="1"/>
    <xf numFmtId="0" fontId="10" fillId="0" borderId="14" xfId="0" applyFont="1" applyFill="1" applyBorder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/>
    <xf numFmtId="0" fontId="20" fillId="0" borderId="0" xfId="8" applyFont="1" applyFill="1" applyBorder="1" applyAlignment="1" applyProtection="1"/>
    <xf numFmtId="0" fontId="21" fillId="0" borderId="0" xfId="0" applyFont="1" applyFill="1" applyBorder="1" applyAlignment="1" applyProtection="1"/>
    <xf numFmtId="0" fontId="10" fillId="0" borderId="7" xfId="0" applyFont="1" applyBorder="1" applyProtection="1"/>
    <xf numFmtId="0" fontId="10" fillId="0" borderId="1" xfId="0" applyFont="1" applyBorder="1" applyAlignment="1" applyProtection="1">
      <alignment horizontal="right"/>
    </xf>
    <xf numFmtId="0" fontId="10" fillId="0" borderId="1" xfId="0" applyFont="1" applyBorder="1" applyProtection="1"/>
    <xf numFmtId="0" fontId="10" fillId="0" borderId="8" xfId="0" applyFont="1" applyBorder="1" applyProtection="1"/>
  </cellXfs>
  <cellStyles count="9">
    <cellStyle name="Currency" xfId="1" builtinId="4"/>
    <cellStyle name="Currency 2" xfId="4" xr:uid="{00000000-0005-0000-0000-000001000000}"/>
    <cellStyle name="Currency 3" xfId="6" xr:uid="{00000000-0005-0000-0000-000002000000}"/>
    <cellStyle name="Hyperlink" xfId="8" builtinId="8"/>
    <cellStyle name="Normal" xfId="0" builtinId="0"/>
    <cellStyle name="Normal 2" xfId="3" xr:uid="{00000000-0005-0000-0000-000004000000}"/>
    <cellStyle name="Normal 3" xfId="5" xr:uid="{00000000-0005-0000-0000-000005000000}"/>
    <cellStyle name="Percent" xfId="2" builtinId="5"/>
    <cellStyle name="Percent 2" xfId="7" xr:uid="{00000000-0005-0000-0000-000007000000}"/>
  </cellStyles>
  <dxfs count="65"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FF99"/>
      <color rgb="FFFFFFCC"/>
      <color rgb="FFE0E7EC"/>
      <color rgb="FF9BB3C2"/>
      <color rgb="FF336699"/>
      <color rgb="FFA6C4E2"/>
      <color rgb="FF566E8C"/>
      <color rgb="FF4B6079"/>
      <color rgb="FF2E3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ov.uk/get-free-childcare-if-youre-work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4334-6A0B-41FD-A96C-7E646B9F5C85}">
  <sheetPr>
    <tabColor theme="6"/>
  </sheetPr>
  <dimension ref="A1:AP71"/>
  <sheetViews>
    <sheetView showGridLines="0" topLeftCell="A32" workbookViewId="0">
      <selection activeCell="E42" sqref="E42:I51"/>
    </sheetView>
  </sheetViews>
  <sheetFormatPr defaultRowHeight="12.75" x14ac:dyDescent="0.2"/>
  <cols>
    <col min="1" max="2" width="3.140625" style="5" customWidth="1"/>
    <col min="3" max="3" width="13.85546875" style="6" customWidth="1"/>
    <col min="4" max="4" width="2.85546875" style="6" customWidth="1"/>
    <col min="5" max="9" width="8.5703125" style="5" customWidth="1"/>
    <col min="10" max="11" width="3.140625" style="5" customWidth="1"/>
    <col min="12" max="12" width="8.42578125" style="9" hidden="1" customWidth="1"/>
    <col min="13" max="13" width="15.28515625" style="9" hidden="1" customWidth="1"/>
    <col min="14" max="15" width="11.42578125" style="9" hidden="1" customWidth="1"/>
    <col min="16" max="19" width="11.42578125" style="5" hidden="1" customWidth="1"/>
    <col min="20" max="20" width="21.85546875" style="5" hidden="1" customWidth="1"/>
    <col min="21" max="21" width="10.28515625" style="5" hidden="1" customWidth="1"/>
    <col min="22" max="23" width="3.140625" style="5" customWidth="1"/>
    <col min="24" max="24" width="13.85546875" style="6" customWidth="1"/>
    <col min="25" max="25" width="2.85546875" style="6" customWidth="1"/>
    <col min="26" max="30" width="8.5703125" style="5" customWidth="1"/>
    <col min="31" max="32" width="3.140625" style="5" customWidth="1"/>
    <col min="33" max="33" width="8.42578125" style="9" hidden="1" customWidth="1"/>
    <col min="34" max="34" width="15.28515625" style="9" hidden="1" customWidth="1"/>
    <col min="35" max="36" width="11.42578125" style="9" hidden="1" customWidth="1"/>
    <col min="37" max="40" width="11.42578125" style="5" hidden="1" customWidth="1"/>
    <col min="41" max="41" width="21.85546875" style="5" hidden="1" customWidth="1"/>
    <col min="42" max="42" width="11.28515625" style="5" hidden="1" customWidth="1"/>
    <col min="43" max="16384" width="9.140625" style="5"/>
  </cols>
  <sheetData>
    <row r="1" spans="1:42" x14ac:dyDescent="0.2">
      <c r="L1" s="7"/>
      <c r="M1" s="7"/>
      <c r="N1" s="7"/>
      <c r="O1" s="7"/>
      <c r="P1" s="8"/>
      <c r="Q1" s="8"/>
      <c r="R1" s="8"/>
      <c r="S1" s="8"/>
      <c r="T1" s="8"/>
      <c r="U1" s="8"/>
      <c r="AG1" s="7"/>
      <c r="AH1" s="7"/>
      <c r="AI1" s="7"/>
      <c r="AJ1" s="7"/>
      <c r="AK1" s="8"/>
      <c r="AL1" s="8"/>
      <c r="AM1" s="8"/>
      <c r="AN1" s="8"/>
      <c r="AO1" s="8"/>
      <c r="AP1" s="8"/>
    </row>
    <row r="2" spans="1:42" ht="15.75" x14ac:dyDescent="0.25">
      <c r="B2" s="149" t="e">
        <f>"Fee &amp; Funding Calculator "&amp;YEAR(E8)</f>
        <v>#REF!</v>
      </c>
      <c r="C2" s="149"/>
      <c r="D2" s="149"/>
      <c r="E2" s="149"/>
      <c r="F2" s="149"/>
      <c r="G2" s="149"/>
      <c r="H2" s="149"/>
      <c r="I2" s="149"/>
      <c r="J2" s="149"/>
      <c r="W2" s="159" t="s">
        <v>85</v>
      </c>
      <c r="X2" s="159"/>
      <c r="Y2" s="159"/>
      <c r="Z2" s="159"/>
      <c r="AA2" s="159"/>
      <c r="AB2" s="159"/>
      <c r="AC2" s="159"/>
      <c r="AD2" s="159"/>
      <c r="AE2" s="159"/>
    </row>
    <row r="3" spans="1:42" ht="7.5" customHeight="1" x14ac:dyDescent="0.25">
      <c r="B3" s="10"/>
      <c r="C3" s="10"/>
      <c r="D3" s="10"/>
      <c r="E3" s="10"/>
      <c r="F3" s="10"/>
      <c r="G3" s="10"/>
      <c r="H3" s="10"/>
      <c r="I3" s="10"/>
      <c r="J3" s="10"/>
      <c r="W3" s="10"/>
      <c r="X3" s="10"/>
      <c r="Y3" s="10"/>
      <c r="Z3" s="10"/>
      <c r="AA3" s="10"/>
      <c r="AB3" s="10"/>
      <c r="AC3" s="10"/>
      <c r="AD3" s="10"/>
      <c r="AE3" s="10"/>
    </row>
    <row r="4" spans="1:42" ht="80.25" customHeight="1" x14ac:dyDescent="0.2">
      <c r="B4" s="150" t="s">
        <v>87</v>
      </c>
      <c r="C4" s="150"/>
      <c r="D4" s="150"/>
      <c r="E4" s="150"/>
      <c r="F4" s="150"/>
      <c r="G4" s="150"/>
      <c r="H4" s="150"/>
      <c r="I4" s="150"/>
      <c r="J4" s="150"/>
      <c r="W4" s="150" t="s">
        <v>86</v>
      </c>
      <c r="X4" s="150"/>
      <c r="Y4" s="150"/>
      <c r="Z4" s="150"/>
      <c r="AA4" s="150"/>
      <c r="AB4" s="150"/>
      <c r="AC4" s="150"/>
      <c r="AD4" s="150"/>
      <c r="AE4" s="150"/>
    </row>
    <row r="5" spans="1:42" ht="13.5" thickBot="1" x14ac:dyDescent="0.25"/>
    <row r="6" spans="1:42" ht="15.75" hidden="1" x14ac:dyDescent="0.25">
      <c r="A6" s="8"/>
      <c r="C6" s="151" t="s">
        <v>21</v>
      </c>
      <c r="D6" s="151"/>
      <c r="E6" s="151"/>
      <c r="F6" s="151"/>
      <c r="G6" s="151"/>
      <c r="H6" s="151"/>
      <c r="I6" s="151"/>
      <c r="J6" s="10"/>
      <c r="K6" s="10"/>
      <c r="X6" s="151" t="s">
        <v>21</v>
      </c>
      <c r="Y6" s="151"/>
      <c r="Z6" s="151"/>
      <c r="AA6" s="151"/>
      <c r="AB6" s="151"/>
      <c r="AC6" s="151"/>
      <c r="AD6" s="151"/>
      <c r="AE6" s="10"/>
      <c r="AF6" s="10"/>
    </row>
    <row r="7" spans="1:42" ht="16.5" hidden="1" thickBot="1" x14ac:dyDescent="0.3">
      <c r="A7" s="8"/>
      <c r="C7" s="10"/>
      <c r="D7" s="10"/>
      <c r="E7" s="10"/>
      <c r="F7" s="10"/>
      <c r="G7" s="10"/>
      <c r="H7" s="10"/>
      <c r="I7" s="10"/>
      <c r="J7" s="10"/>
      <c r="K7" s="10"/>
      <c r="X7" s="10"/>
      <c r="Y7" s="10"/>
      <c r="Z7" s="10"/>
      <c r="AA7" s="10"/>
      <c r="AB7" s="10"/>
      <c r="AC7" s="10"/>
      <c r="AD7" s="10"/>
      <c r="AE7" s="10"/>
      <c r="AF7" s="10"/>
    </row>
    <row r="8" spans="1:42" ht="16.5" hidden="1" thickBot="1" x14ac:dyDescent="0.3">
      <c r="A8" s="8"/>
      <c r="C8" s="1" t="s">
        <v>14</v>
      </c>
      <c r="D8" s="10"/>
      <c r="E8" s="152" t="e">
        <f>#REF!</f>
        <v>#REF!</v>
      </c>
      <c r="F8" s="153"/>
      <c r="G8" s="2"/>
      <c r="J8" s="10"/>
      <c r="K8" s="10"/>
      <c r="X8" s="1" t="s">
        <v>14</v>
      </c>
      <c r="Y8" s="10"/>
      <c r="Z8" s="152" t="e">
        <f>E8</f>
        <v>#REF!</v>
      </c>
      <c r="AA8" s="153"/>
      <c r="AB8" s="2"/>
      <c r="AE8" s="10"/>
      <c r="AF8" s="10"/>
    </row>
    <row r="9" spans="1:42" s="12" customFormat="1" ht="39" hidden="1" thickBot="1" x14ac:dyDescent="0.25">
      <c r="A9" s="11"/>
      <c r="C9" s="13" t="s">
        <v>15</v>
      </c>
      <c r="D9" s="13"/>
      <c r="E9" s="14" t="s">
        <v>10</v>
      </c>
      <c r="F9" s="14" t="s">
        <v>9</v>
      </c>
      <c r="G9" s="14" t="s">
        <v>3</v>
      </c>
      <c r="H9" s="14" t="s">
        <v>20</v>
      </c>
      <c r="I9" s="14" t="s">
        <v>22</v>
      </c>
      <c r="M9" s="12" t="s">
        <v>23</v>
      </c>
      <c r="N9" s="12" t="s">
        <v>13</v>
      </c>
      <c r="X9" s="13" t="s">
        <v>15</v>
      </c>
      <c r="Y9" s="13"/>
      <c r="Z9" s="14" t="s">
        <v>10</v>
      </c>
      <c r="AA9" s="14" t="s">
        <v>9</v>
      </c>
      <c r="AB9" s="14" t="s">
        <v>3</v>
      </c>
      <c r="AC9" s="14" t="s">
        <v>20</v>
      </c>
      <c r="AD9" s="14" t="s">
        <v>22</v>
      </c>
      <c r="AH9" s="12" t="s">
        <v>23</v>
      </c>
      <c r="AI9" s="12" t="s">
        <v>13</v>
      </c>
    </row>
    <row r="10" spans="1:42" hidden="1" x14ac:dyDescent="0.2">
      <c r="A10" s="8"/>
      <c r="C10" s="6" t="s">
        <v>7</v>
      </c>
      <c r="E10" s="80" t="e">
        <f>#REF!</f>
        <v>#REF!</v>
      </c>
      <c r="F10" s="80" t="e">
        <f>#REF!</f>
        <v>#REF!</v>
      </c>
      <c r="G10" s="93" t="e">
        <f t="shared" ref="G10:G17" si="0">(F10-E10)*24</f>
        <v>#REF!</v>
      </c>
      <c r="H10" s="95"/>
      <c r="I10" s="9"/>
      <c r="J10" s="15"/>
      <c r="M10" s="98" t="s">
        <v>24</v>
      </c>
      <c r="N10" s="17">
        <v>0</v>
      </c>
      <c r="O10" s="18" t="s">
        <v>25</v>
      </c>
      <c r="X10" s="6" t="str">
        <f>C10</f>
        <v>Sunrise</v>
      </c>
      <c r="Z10" s="80" t="e">
        <f>E10</f>
        <v>#REF!</v>
      </c>
      <c r="AA10" s="80" t="e">
        <f t="shared" ref="AA10:AB10" si="1">F10</f>
        <v>#REF!</v>
      </c>
      <c r="AB10" s="93" t="e">
        <f t="shared" si="1"/>
        <v>#REF!</v>
      </c>
      <c r="AC10" s="95"/>
      <c r="AD10" s="9"/>
      <c r="AE10" s="15"/>
      <c r="AH10" s="98" t="s">
        <v>24</v>
      </c>
      <c r="AI10" s="17">
        <f>N10</f>
        <v>0</v>
      </c>
      <c r="AJ10" s="22" t="str">
        <f t="shared" ref="AJ10:AJ13" si="2">O10</f>
        <v>funding is available to all 3 &amp; 4 year olds and qualifying 2 year olds.</v>
      </c>
    </row>
    <row r="11" spans="1:42" hidden="1" x14ac:dyDescent="0.2">
      <c r="A11" s="8"/>
      <c r="C11" s="19" t="s">
        <v>5</v>
      </c>
      <c r="D11" s="19"/>
      <c r="E11" s="81" t="e">
        <f>#REF!</f>
        <v>#REF!</v>
      </c>
      <c r="F11" s="81" t="e">
        <f>#REF!</f>
        <v>#REF!</v>
      </c>
      <c r="G11" s="94" t="e">
        <f t="shared" si="0"/>
        <v>#REF!</v>
      </c>
      <c r="H11" s="95"/>
      <c r="I11" s="20"/>
      <c r="J11" s="15"/>
      <c r="M11" s="98" t="s">
        <v>26</v>
      </c>
      <c r="N11" s="86" t="e">
        <f>#REF!</f>
        <v>#REF!</v>
      </c>
      <c r="O11" s="18" t="s">
        <v>27</v>
      </c>
      <c r="X11" s="19" t="str">
        <f t="shared" ref="X11:X19" si="3">C11</f>
        <v>Early Start</v>
      </c>
      <c r="Y11" s="19"/>
      <c r="Z11" s="81" t="e">
        <f t="shared" ref="Z11:Z17" si="4">E11</f>
        <v>#REF!</v>
      </c>
      <c r="AA11" s="81" t="e">
        <f t="shared" ref="AA11:AA17" si="5">F11</f>
        <v>#REF!</v>
      </c>
      <c r="AB11" s="94" t="e">
        <f t="shared" ref="AB11:AB17" si="6">G11</f>
        <v>#REF!</v>
      </c>
      <c r="AC11" s="95"/>
      <c r="AD11" s="20"/>
      <c r="AE11" s="15"/>
      <c r="AH11" s="98" t="s">
        <v>26</v>
      </c>
      <c r="AI11" s="86" t="e">
        <f t="shared" ref="AI11:AI13" si="7">N11</f>
        <v>#REF!</v>
      </c>
      <c r="AJ11" s="22" t="str">
        <f t="shared" si="2"/>
        <v>funding for 2 year olds is available from the term after your child's 2nd birthday, and for qualifying children only.</v>
      </c>
    </row>
    <row r="12" spans="1:42" hidden="1" x14ac:dyDescent="0.2">
      <c r="A12" s="8"/>
      <c r="C12" s="6" t="s">
        <v>0</v>
      </c>
      <c r="E12" s="80" t="e">
        <f>#REF!</f>
        <v>#REF!</v>
      </c>
      <c r="F12" s="80" t="e">
        <f>#REF!</f>
        <v>#REF!</v>
      </c>
      <c r="G12" s="93" t="e">
        <f t="shared" si="0"/>
        <v>#REF!</v>
      </c>
      <c r="H12" s="96"/>
      <c r="I12" s="83" t="e">
        <f>ROUND(#REF!*24,0)</f>
        <v>#REF!</v>
      </c>
      <c r="J12" s="15"/>
      <c r="M12" s="98" t="s">
        <v>28</v>
      </c>
      <c r="N12" s="86" t="e">
        <f>#REF!</f>
        <v>#REF!</v>
      </c>
      <c r="O12" s="18" t="s">
        <v>29</v>
      </c>
      <c r="X12" s="6" t="str">
        <f t="shared" si="3"/>
        <v>Morning</v>
      </c>
      <c r="Z12" s="80" t="e">
        <f t="shared" si="4"/>
        <v>#REF!</v>
      </c>
      <c r="AA12" s="80" t="e">
        <f t="shared" si="5"/>
        <v>#REF!</v>
      </c>
      <c r="AB12" s="93" t="e">
        <f t="shared" si="6"/>
        <v>#REF!</v>
      </c>
      <c r="AC12" s="96"/>
      <c r="AD12" s="83" t="e">
        <f>I12</f>
        <v>#REF!</v>
      </c>
      <c r="AE12" s="15"/>
      <c r="AH12" s="98" t="s">
        <v>28</v>
      </c>
      <c r="AI12" s="86" t="e">
        <f t="shared" si="7"/>
        <v>#REF!</v>
      </c>
      <c r="AJ12" s="22" t="str">
        <f t="shared" si="2"/>
        <v>funding for 3 and 4 year olds is available from the term after your child's 3rd birthday.</v>
      </c>
    </row>
    <row r="13" spans="1:42" hidden="1" x14ac:dyDescent="0.2">
      <c r="A13" s="8"/>
      <c r="C13" s="6" t="s">
        <v>1</v>
      </c>
      <c r="E13" s="80" t="e">
        <f>#REF!</f>
        <v>#REF!</v>
      </c>
      <c r="F13" s="80" t="e">
        <f>#REF!</f>
        <v>#REF!</v>
      </c>
      <c r="G13" s="94" t="e">
        <f t="shared" si="0"/>
        <v>#REF!</v>
      </c>
      <c r="H13" s="96"/>
      <c r="I13" s="83" t="e">
        <f>ROUND(#REF!*24,0)</f>
        <v>#REF!</v>
      </c>
      <c r="J13" s="15"/>
      <c r="M13" s="98" t="s">
        <v>30</v>
      </c>
      <c r="N13" s="17" t="e">
        <f>N12</f>
        <v>#REF!</v>
      </c>
      <c r="O13" s="18" t="s">
        <v>31</v>
      </c>
      <c r="X13" s="6" t="str">
        <f t="shared" si="3"/>
        <v>Afternoon</v>
      </c>
      <c r="Z13" s="80" t="e">
        <f t="shared" si="4"/>
        <v>#REF!</v>
      </c>
      <c r="AA13" s="80" t="e">
        <f t="shared" si="5"/>
        <v>#REF!</v>
      </c>
      <c r="AB13" s="94" t="e">
        <f t="shared" si="6"/>
        <v>#REF!</v>
      </c>
      <c r="AC13" s="96"/>
      <c r="AD13" s="83" t="e">
        <f t="shared" ref="AD13:AD15" si="8">I13</f>
        <v>#REF!</v>
      </c>
      <c r="AE13" s="15"/>
      <c r="AH13" s="98" t="s">
        <v>30</v>
      </c>
      <c r="AI13" s="17" t="e">
        <f t="shared" si="7"/>
        <v>#REF!</v>
      </c>
      <c r="AJ13" s="22" t="str">
        <f t="shared" si="2"/>
        <v>30hr funding for 3 and 4 year olds is available from the term after your child's 3rd birthday, and only for eligible children.</v>
      </c>
    </row>
    <row r="14" spans="1:42" hidden="1" x14ac:dyDescent="0.2">
      <c r="A14" s="8"/>
      <c r="C14" s="6" t="s">
        <v>2</v>
      </c>
      <c r="E14" s="80" t="e">
        <f>#REF!</f>
        <v>#REF!</v>
      </c>
      <c r="F14" s="80" t="e">
        <f>#REF!</f>
        <v>#REF!</v>
      </c>
      <c r="G14" s="94" t="e">
        <f t="shared" si="0"/>
        <v>#REF!</v>
      </c>
      <c r="H14" s="96"/>
      <c r="I14" s="83" t="e">
        <f>ROUND(#REF!*24,0)</f>
        <v>#REF!</v>
      </c>
      <c r="J14" s="15"/>
      <c r="M14" s="21" t="s">
        <v>32</v>
      </c>
      <c r="N14" s="5"/>
      <c r="O14" s="5"/>
      <c r="X14" s="6" t="str">
        <f t="shared" si="3"/>
        <v>School Day</v>
      </c>
      <c r="Z14" s="80" t="e">
        <f t="shared" si="4"/>
        <v>#REF!</v>
      </c>
      <c r="AA14" s="80" t="e">
        <f t="shared" si="5"/>
        <v>#REF!</v>
      </c>
      <c r="AB14" s="94" t="e">
        <f t="shared" si="6"/>
        <v>#REF!</v>
      </c>
      <c r="AC14" s="96"/>
      <c r="AD14" s="83" t="e">
        <f t="shared" si="8"/>
        <v>#REF!</v>
      </c>
      <c r="AE14" s="15"/>
      <c r="AH14" s="21" t="s">
        <v>32</v>
      </c>
      <c r="AI14" s="5"/>
      <c r="AJ14" s="5"/>
    </row>
    <row r="15" spans="1:42" hidden="1" x14ac:dyDescent="0.2">
      <c r="A15" s="8"/>
      <c r="C15" s="19" t="s">
        <v>4</v>
      </c>
      <c r="D15" s="19"/>
      <c r="E15" s="81" t="e">
        <f>#REF!</f>
        <v>#REF!</v>
      </c>
      <c r="F15" s="81" t="e">
        <f>#REF!</f>
        <v>#REF!</v>
      </c>
      <c r="G15" s="94" t="e">
        <f t="shared" si="0"/>
        <v>#REF!</v>
      </c>
      <c r="H15" s="96"/>
      <c r="I15" s="83" t="e">
        <f>ROUND(#REF!*24,0)</f>
        <v>#REF!</v>
      </c>
      <c r="J15" s="15"/>
      <c r="M15" s="98" t="e">
        <f>#REF!</f>
        <v>#REF!</v>
      </c>
      <c r="O15" s="18" t="s">
        <v>34</v>
      </c>
      <c r="X15" s="19" t="str">
        <f t="shared" si="3"/>
        <v>Full Day</v>
      </c>
      <c r="Y15" s="19"/>
      <c r="Z15" s="81" t="e">
        <f t="shared" si="4"/>
        <v>#REF!</v>
      </c>
      <c r="AA15" s="81" t="e">
        <f t="shared" si="5"/>
        <v>#REF!</v>
      </c>
      <c r="AB15" s="94" t="e">
        <f t="shared" si="6"/>
        <v>#REF!</v>
      </c>
      <c r="AC15" s="96"/>
      <c r="AD15" s="83" t="e">
        <f t="shared" si="8"/>
        <v>#REF!</v>
      </c>
      <c r="AE15" s="15"/>
      <c r="AH15" s="98" t="e">
        <f>M15</f>
        <v>#REF!</v>
      </c>
      <c r="AJ15" s="22" t="str">
        <f>O15</f>
        <v>Sunrise and Sunset sessions only available at Brighton</v>
      </c>
    </row>
    <row r="16" spans="1:42" hidden="1" x14ac:dyDescent="0.2">
      <c r="A16" s="8"/>
      <c r="C16" s="6" t="s">
        <v>6</v>
      </c>
      <c r="E16" s="80" t="e">
        <f>#REF!</f>
        <v>#REF!</v>
      </c>
      <c r="F16" s="80" t="e">
        <f>#REF!</f>
        <v>#REF!</v>
      </c>
      <c r="G16" s="93" t="e">
        <f t="shared" si="0"/>
        <v>#REF!</v>
      </c>
      <c r="H16" s="96"/>
      <c r="J16" s="15"/>
      <c r="K16" s="9"/>
      <c r="M16" s="98" t="e">
        <f>#REF!</f>
        <v>#REF!</v>
      </c>
      <c r="X16" s="6" t="str">
        <f t="shared" si="3"/>
        <v>Late Finish</v>
      </c>
      <c r="Z16" s="80" t="e">
        <f t="shared" si="4"/>
        <v>#REF!</v>
      </c>
      <c r="AA16" s="80" t="e">
        <f t="shared" si="5"/>
        <v>#REF!</v>
      </c>
      <c r="AB16" s="93" t="e">
        <f t="shared" si="6"/>
        <v>#REF!</v>
      </c>
      <c r="AC16" s="96"/>
      <c r="AE16" s="15"/>
      <c r="AF16" s="9"/>
      <c r="AH16" s="98" t="e">
        <f t="shared" ref="AH16:AH17" si="9">M16</f>
        <v>#REF!</v>
      </c>
    </row>
    <row r="17" spans="1:39" hidden="1" x14ac:dyDescent="0.2">
      <c r="A17" s="8"/>
      <c r="C17" s="19" t="s">
        <v>8</v>
      </c>
      <c r="D17" s="19"/>
      <c r="E17" s="81" t="e">
        <f>#REF!</f>
        <v>#REF!</v>
      </c>
      <c r="F17" s="81" t="e">
        <f>#REF!</f>
        <v>#REF!</v>
      </c>
      <c r="G17" s="94" t="e">
        <f t="shared" si="0"/>
        <v>#REF!</v>
      </c>
      <c r="H17" s="82"/>
      <c r="I17" s="84"/>
      <c r="J17" s="15"/>
      <c r="K17" s="9"/>
      <c r="M17" s="98" t="e">
        <f>#REF!</f>
        <v>#REF!</v>
      </c>
      <c r="N17" s="22"/>
      <c r="O17" s="5"/>
      <c r="X17" s="19" t="str">
        <f t="shared" si="3"/>
        <v>Sunset</v>
      </c>
      <c r="Y17" s="19"/>
      <c r="Z17" s="81" t="e">
        <f t="shared" si="4"/>
        <v>#REF!</v>
      </c>
      <c r="AA17" s="81" t="e">
        <f t="shared" si="5"/>
        <v>#REF!</v>
      </c>
      <c r="AB17" s="94" t="e">
        <f t="shared" si="6"/>
        <v>#REF!</v>
      </c>
      <c r="AC17" s="82"/>
      <c r="AD17" s="84"/>
      <c r="AE17" s="15"/>
      <c r="AF17" s="9"/>
      <c r="AH17" s="98" t="e">
        <f t="shared" si="9"/>
        <v>#REF!</v>
      </c>
      <c r="AI17" s="22"/>
      <c r="AJ17" s="5"/>
    </row>
    <row r="18" spans="1:39" hidden="1" x14ac:dyDescent="0.2">
      <c r="A18" s="8"/>
      <c r="C18" s="6" t="s">
        <v>37</v>
      </c>
      <c r="H18" s="85" t="e">
        <f>IF(E38=M20,N20,N19)</f>
        <v>#REF!</v>
      </c>
      <c r="K18" s="9"/>
      <c r="M18" s="21" t="s">
        <v>89</v>
      </c>
      <c r="X18" s="6" t="str">
        <f t="shared" si="3"/>
        <v>Hourly Rate</v>
      </c>
      <c r="AC18" s="85" t="e">
        <f>IF(Z38=AH20,AI20,AI19)</f>
        <v>#REF!</v>
      </c>
      <c r="AF18" s="9"/>
      <c r="AH18" s="21" t="s">
        <v>89</v>
      </c>
    </row>
    <row r="19" spans="1:39" hidden="1" x14ac:dyDescent="0.2">
      <c r="A19" s="8"/>
      <c r="C19" s="6" t="s">
        <v>11</v>
      </c>
      <c r="H19" s="86" t="e">
        <f>#REF!</f>
        <v>#REF!</v>
      </c>
      <c r="K19" s="9"/>
      <c r="M19" s="98" t="s">
        <v>90</v>
      </c>
      <c r="N19" s="61" t="e">
        <f>#REF!</f>
        <v>#REF!</v>
      </c>
      <c r="O19" s="5"/>
      <c r="X19" s="6" t="str">
        <f t="shared" si="3"/>
        <v>Lunch</v>
      </c>
      <c r="AC19" s="86" t="e">
        <f>H19</f>
        <v>#REF!</v>
      </c>
      <c r="AF19" s="9"/>
      <c r="AH19" s="98" t="s">
        <v>90</v>
      </c>
      <c r="AI19" s="61" t="e">
        <f>#REF!</f>
        <v>#REF!</v>
      </c>
      <c r="AJ19" s="5"/>
    </row>
    <row r="20" spans="1:39" hidden="1" x14ac:dyDescent="0.2">
      <c r="A20" s="8"/>
      <c r="H20" s="97"/>
      <c r="K20" s="9"/>
      <c r="M20" s="98" t="s">
        <v>19</v>
      </c>
      <c r="N20" s="17" t="e">
        <f>ROUND(N19*(1-#REF!),2)</f>
        <v>#REF!</v>
      </c>
      <c r="O20" s="18" t="s">
        <v>91</v>
      </c>
      <c r="AC20" s="97"/>
      <c r="AF20" s="9"/>
      <c r="AH20" s="98" t="s">
        <v>19</v>
      </c>
      <c r="AI20" s="17" t="e">
        <f>ROUND(AI19*(1-#REF!),2)</f>
        <v>#REF!</v>
      </c>
      <c r="AJ20" s="22" t="str">
        <f>O20</f>
        <v>A discount of 5% is awarded to the eldest of two siblings</v>
      </c>
    </row>
    <row r="21" spans="1:39" ht="38.25" hidden="1" x14ac:dyDescent="0.2">
      <c r="A21" s="8"/>
      <c r="F21" s="15"/>
      <c r="I21" s="15"/>
      <c r="K21" s="9"/>
      <c r="M21" s="21" t="s">
        <v>38</v>
      </c>
      <c r="N21" s="12" t="s">
        <v>39</v>
      </c>
      <c r="O21" s="12" t="s">
        <v>40</v>
      </c>
      <c r="P21" s="23" t="s">
        <v>17</v>
      </c>
      <c r="Q21" s="12" t="s">
        <v>41</v>
      </c>
      <c r="AA21" s="15"/>
      <c r="AD21" s="15"/>
      <c r="AF21" s="9"/>
      <c r="AH21" s="21" t="s">
        <v>38</v>
      </c>
      <c r="AI21" s="12" t="s">
        <v>39</v>
      </c>
      <c r="AJ21" s="12" t="s">
        <v>40</v>
      </c>
      <c r="AK21" s="23" t="s">
        <v>17</v>
      </c>
      <c r="AL21" s="12" t="s">
        <v>41</v>
      </c>
    </row>
    <row r="22" spans="1:39" hidden="1" x14ac:dyDescent="0.2">
      <c r="A22" s="8"/>
      <c r="E22" s="154" t="s">
        <v>42</v>
      </c>
      <c r="F22" s="154"/>
      <c r="G22" s="154"/>
      <c r="H22" s="154"/>
      <c r="I22" s="154"/>
      <c r="K22" s="9"/>
      <c r="M22" s="98" t="s">
        <v>43</v>
      </c>
      <c r="N22" s="87" t="e">
        <f>#REF!</f>
        <v>#REF!</v>
      </c>
      <c r="O22" s="4" t="e">
        <f>#REF!</f>
        <v>#REF!</v>
      </c>
      <c r="P22" s="4" t="e">
        <f>N22*O22</f>
        <v>#REF!</v>
      </c>
      <c r="Q22" s="89">
        <v>51</v>
      </c>
      <c r="Z22" s="154" t="s">
        <v>42</v>
      </c>
      <c r="AA22" s="154"/>
      <c r="AB22" s="154"/>
      <c r="AC22" s="154"/>
      <c r="AD22" s="154"/>
      <c r="AF22" s="9"/>
      <c r="AH22" s="16" t="s">
        <v>43</v>
      </c>
      <c r="AI22" s="87" t="e">
        <f>N22</f>
        <v>#REF!</v>
      </c>
      <c r="AJ22" s="4" t="e">
        <f t="shared" ref="AJ22:AL22" si="10">O22</f>
        <v>#REF!</v>
      </c>
      <c r="AK22" s="4" t="e">
        <f t="shared" si="10"/>
        <v>#REF!</v>
      </c>
      <c r="AL22" s="16">
        <f t="shared" si="10"/>
        <v>51</v>
      </c>
    </row>
    <row r="23" spans="1:39" hidden="1" x14ac:dyDescent="0.2">
      <c r="A23" s="8"/>
      <c r="C23" s="6" t="s">
        <v>44</v>
      </c>
      <c r="E23" s="16">
        <f>COUNTA(E42:E43)</f>
        <v>0</v>
      </c>
      <c r="F23" s="16">
        <f>COUNTA(F42:F43)</f>
        <v>0</v>
      </c>
      <c r="G23" s="16">
        <f>COUNTA(G42:G43)</f>
        <v>0</v>
      </c>
      <c r="H23" s="16">
        <f>COUNTA(H42:H43)</f>
        <v>0</v>
      </c>
      <c r="I23" s="16">
        <f>COUNTA(I42:I43)</f>
        <v>0</v>
      </c>
      <c r="K23" s="9" t="str">
        <f>IF(OR(E23&gt;1,F23&gt;1,G23&gt;1,H23&gt;1,I23&gt;1),"Y","N")</f>
        <v>N</v>
      </c>
      <c r="M23" s="98" t="s">
        <v>45</v>
      </c>
      <c r="N23" s="87" t="e">
        <f>#REF!</f>
        <v>#REF!</v>
      </c>
      <c r="O23" s="4" t="e">
        <f>#REF!</f>
        <v>#REF!</v>
      </c>
      <c r="P23" s="4" t="e">
        <f>N23*O23</f>
        <v>#REF!</v>
      </c>
      <c r="Q23" s="89">
        <v>41</v>
      </c>
      <c r="X23" s="6" t="str">
        <f>C23</f>
        <v>Early</v>
      </c>
      <c r="Z23" s="16">
        <f>COUNTA(Z42:Z43)</f>
        <v>0</v>
      </c>
      <c r="AA23" s="16">
        <f>COUNTA(AA42:AA43)</f>
        <v>0</v>
      </c>
      <c r="AB23" s="16">
        <f>COUNTA(AB42:AB43)</f>
        <v>0</v>
      </c>
      <c r="AC23" s="16">
        <f>COUNTA(AC42:AC43)</f>
        <v>0</v>
      </c>
      <c r="AD23" s="16">
        <f>COUNTA(AD42:AD43)</f>
        <v>0</v>
      </c>
      <c r="AF23" s="9" t="str">
        <f>IF(OR(Z23&gt;1,AA23&gt;1,AB23&gt;1,AC23&gt;1,AD23&gt;1),"Y","N")</f>
        <v>N</v>
      </c>
      <c r="AH23" s="16" t="s">
        <v>45</v>
      </c>
      <c r="AI23" s="88" t="e">
        <f t="shared" ref="AI23:AL23" si="11">N23</f>
        <v>#REF!</v>
      </c>
      <c r="AJ23" s="4" t="e">
        <f t="shared" si="11"/>
        <v>#REF!</v>
      </c>
      <c r="AK23" s="4" t="e">
        <f t="shared" si="11"/>
        <v>#REF!</v>
      </c>
      <c r="AL23" s="16">
        <f t="shared" si="11"/>
        <v>41</v>
      </c>
    </row>
    <row r="24" spans="1:39" hidden="1" x14ac:dyDescent="0.2">
      <c r="A24" s="8"/>
      <c r="C24" s="6" t="s">
        <v>46</v>
      </c>
      <c r="E24" s="24">
        <f>COUNTA(E44:E45)</f>
        <v>0</v>
      </c>
      <c r="F24" s="24">
        <f>COUNTA(F44:F45)</f>
        <v>0</v>
      </c>
      <c r="G24" s="24">
        <f>COUNTA(G44:G45)</f>
        <v>0</v>
      </c>
      <c r="H24" s="24">
        <f>COUNTA(H44:H45)</f>
        <v>0</v>
      </c>
      <c r="I24" s="24">
        <f>COUNTA(I44:I45)</f>
        <v>0</v>
      </c>
      <c r="K24" s="9" t="str">
        <f>IF(OR(E24&gt;1,F24&gt;1,G24&gt;1,H24&gt;1,I24&gt;1),"Y","N")</f>
        <v>N</v>
      </c>
      <c r="R24" s="9"/>
      <c r="X24" s="6" t="str">
        <f t="shared" ref="X24:X29" si="12">C24</f>
        <v>AM &amp; PM</v>
      </c>
      <c r="Z24" s="24">
        <f>COUNTA(Z44:Z45)</f>
        <v>0</v>
      </c>
      <c r="AA24" s="24">
        <f>COUNTA(AA44:AA45)</f>
        <v>0</v>
      </c>
      <c r="AB24" s="24">
        <f>COUNTA(AB44:AB45)</f>
        <v>0</v>
      </c>
      <c r="AC24" s="24">
        <f>COUNTA(AC44:AC45)</f>
        <v>0</v>
      </c>
      <c r="AD24" s="24">
        <f>COUNTA(AD44:AD45)</f>
        <v>0</v>
      </c>
      <c r="AF24" s="9" t="str">
        <f>IF(OR(Z24&gt;1,AA24&gt;1,AB24&gt;1,AC24&gt;1,AD24&gt;1),"Y","N")</f>
        <v>N</v>
      </c>
      <c r="AM24" s="9"/>
    </row>
    <row r="25" spans="1:39" hidden="1" x14ac:dyDescent="0.2">
      <c r="A25" s="8"/>
      <c r="C25" s="6" t="s">
        <v>47</v>
      </c>
      <c r="E25" s="16">
        <f>COUNTA(E44:E47)</f>
        <v>0</v>
      </c>
      <c r="F25" s="16">
        <f>COUNTA(F44:F47)</f>
        <v>0</v>
      </c>
      <c r="G25" s="16">
        <f>COUNTA(G44:G47)</f>
        <v>0</v>
      </c>
      <c r="H25" s="16">
        <f>COUNTA(H44:H47)</f>
        <v>0</v>
      </c>
      <c r="I25" s="16">
        <f>COUNTA(I44:I47)</f>
        <v>0</v>
      </c>
      <c r="K25" s="9" t="str">
        <f>IF(OR(E25&gt;1,F25&gt;1,G25&gt;1,H25&gt;1,I25&gt;1),"Y","N")</f>
        <v>N</v>
      </c>
      <c r="M25" s="18" t="s">
        <v>48</v>
      </c>
      <c r="O25" s="5"/>
      <c r="P25" s="25"/>
      <c r="Q25" s="26" t="s">
        <v>49</v>
      </c>
      <c r="R25" s="9"/>
      <c r="X25" s="6" t="str">
        <f t="shared" si="12"/>
        <v>Main</v>
      </c>
      <c r="Z25" s="16">
        <f>COUNTA(Z44:Z47)</f>
        <v>0</v>
      </c>
      <c r="AA25" s="16">
        <f>COUNTA(AA44:AA47)</f>
        <v>0</v>
      </c>
      <c r="AB25" s="16">
        <f>COUNTA(AB44:AB47)</f>
        <v>0</v>
      </c>
      <c r="AC25" s="16">
        <f>COUNTA(AC44:AC47)</f>
        <v>0</v>
      </c>
      <c r="AD25" s="16">
        <f>COUNTA(AD44:AD47)</f>
        <v>0</v>
      </c>
      <c r="AF25" s="9" t="str">
        <f>IF(OR(Z25&gt;1,AA25&gt;1,AB25&gt;1,AC25&gt;1,AD25&gt;1),"Y","N")</f>
        <v>N</v>
      </c>
      <c r="AH25" s="22" t="str">
        <f>M25</f>
        <v>Not available at Shoreham</v>
      </c>
      <c r="AJ25" s="5"/>
      <c r="AK25" s="25"/>
      <c r="AL25" s="22" t="str">
        <f t="shared" ref="AL25:AL26" si="13">Q25</f>
        <v>Fees are not payable when the nursery is closed for Bank Holidays and between Christmas and New Year, resulting in a lower than average monthly invoice.</v>
      </c>
      <c r="AM25" s="9"/>
    </row>
    <row r="26" spans="1:39" hidden="1" x14ac:dyDescent="0.2">
      <c r="A26" s="8"/>
      <c r="C26" s="6" t="s">
        <v>50</v>
      </c>
      <c r="E26" s="16">
        <f>COUNTA(E48:E49)</f>
        <v>0</v>
      </c>
      <c r="F26" s="16">
        <f>COUNTA(F48:F49)</f>
        <v>0</v>
      </c>
      <c r="G26" s="16">
        <f>COUNTA(G48:G49)</f>
        <v>0</v>
      </c>
      <c r="H26" s="16">
        <f>COUNTA(H48:H49)</f>
        <v>0</v>
      </c>
      <c r="I26" s="16">
        <f>COUNTA(I48:I49)</f>
        <v>0</v>
      </c>
      <c r="K26" s="9" t="str">
        <f>IF(OR(E26&gt;1,F26&gt;1,G26&gt;1,H26&gt;1,I26&gt;1),"Y","N")</f>
        <v>N</v>
      </c>
      <c r="M26" s="18" t="s">
        <v>51</v>
      </c>
      <c r="O26" s="5"/>
      <c r="P26" s="25"/>
      <c r="Q26" s="26" t="s">
        <v>52</v>
      </c>
      <c r="R26" s="9"/>
      <c r="X26" s="6" t="str">
        <f t="shared" si="12"/>
        <v>Late</v>
      </c>
      <c r="Z26" s="16">
        <f>COUNTA(Z48:Z49)</f>
        <v>0</v>
      </c>
      <c r="AA26" s="16">
        <f>COUNTA(AA48:AA49)</f>
        <v>0</v>
      </c>
      <c r="AB26" s="16">
        <f>COUNTA(AB48:AB49)</f>
        <v>0</v>
      </c>
      <c r="AC26" s="16">
        <f>COUNTA(AC48:AC49)</f>
        <v>0</v>
      </c>
      <c r="AD26" s="16">
        <f>COUNTA(AD48:AD49)</f>
        <v>0</v>
      </c>
      <c r="AF26" s="9" t="str">
        <f>IF(OR(Z26&gt;1,AA26&gt;1,AB26&gt;1,AC26&gt;1,AD26&gt;1),"Y","N")</f>
        <v>N</v>
      </c>
      <c r="AH26" s="22" t="str">
        <f t="shared" ref="AH26:AH29" si="14">M26</f>
        <v>Please Select a Full Day session instead</v>
      </c>
      <c r="AJ26" s="5"/>
      <c r="AK26" s="25"/>
      <c r="AL26" s="22" t="str">
        <f t="shared" si="13"/>
        <v>Fees are not payable during the main school holidays or when the nursery is closed for Bank Holidays, resulting in a lower than average monthly invoice.</v>
      </c>
      <c r="AM26" s="9"/>
    </row>
    <row r="27" spans="1:39" hidden="1" x14ac:dyDescent="0.2">
      <c r="A27" s="8"/>
      <c r="C27" s="6" t="s">
        <v>53</v>
      </c>
      <c r="E27" s="16" t="str">
        <f>IF(AND(E25=0,E23&gt;0),"Y","N")</f>
        <v>N</v>
      </c>
      <c r="F27" s="16" t="str">
        <f>IF(AND(F25=0,F23&gt;0),"Y","N")</f>
        <v>N</v>
      </c>
      <c r="G27" s="16" t="str">
        <f>IF(AND(G25=0,G23&gt;0),"Y","N")</f>
        <v>N</v>
      </c>
      <c r="H27" s="16" t="str">
        <f>IF(AND(H25=0,H23&gt;0),"Y","N")</f>
        <v>N</v>
      </c>
      <c r="I27" s="16" t="str">
        <f>IF(AND(I25=0,I23&gt;0),"Y","N")</f>
        <v>N</v>
      </c>
      <c r="K27" s="9">
        <f>COUNTIF(E27:I27,"Y")</f>
        <v>0</v>
      </c>
      <c r="M27" s="18" t="s">
        <v>54</v>
      </c>
      <c r="O27" s="5"/>
      <c r="P27" s="25"/>
      <c r="Q27" s="26" t="e">
        <f>"Funding is available for "&amp;O22&amp;" weeks of the year. This may leave a couple of days unfunded where session fees are payable in full."</f>
        <v>#REF!</v>
      </c>
      <c r="R27" s="9"/>
      <c r="X27" s="6" t="str">
        <f t="shared" si="12"/>
        <v>Main selected AM</v>
      </c>
      <c r="Z27" s="16" t="str">
        <f>IF(AND(Z25=0,Z23&gt;0),"Y","N")</f>
        <v>N</v>
      </c>
      <c r="AA27" s="16" t="str">
        <f>IF(AND(AA25=0,AA23&gt;0),"Y","N")</f>
        <v>N</v>
      </c>
      <c r="AB27" s="16" t="str">
        <f>IF(AND(AB25=0,AB23&gt;0),"Y","N")</f>
        <v>N</v>
      </c>
      <c r="AC27" s="16" t="str">
        <f>IF(AND(AC25=0,AC23&gt;0),"Y","N")</f>
        <v>N</v>
      </c>
      <c r="AD27" s="16" t="str">
        <f>IF(AND(AD25=0,AD23&gt;0),"Y","N")</f>
        <v>N</v>
      </c>
      <c r="AF27" s="9">
        <f>COUNTIF(Z27:AD27,"Y")</f>
        <v>0</v>
      </c>
      <c r="AH27" s="22" t="str">
        <f t="shared" si="14"/>
        <v>Please do not select concurrent sessions</v>
      </c>
      <c r="AJ27" s="5"/>
      <c r="AK27" s="25"/>
      <c r="AL27" s="26" t="e">
        <f>"Funding is available for "&amp;AJ22&amp;" weeks of the year. This may leave a couple of days unfunded where session fees are payable in full."</f>
        <v>#REF!</v>
      </c>
      <c r="AM27" s="9"/>
    </row>
    <row r="28" spans="1:39" hidden="1" x14ac:dyDescent="0.2">
      <c r="A28" s="8"/>
      <c r="C28" s="6" t="s">
        <v>55</v>
      </c>
      <c r="D28" s="5"/>
      <c r="E28" s="16" t="str">
        <f>IF(AND(E25=0,E26&gt;0),"Y","N")</f>
        <v>N</v>
      </c>
      <c r="F28" s="16" t="str">
        <f>IF(AND(F25=0,F26&gt;0),"Y","N")</f>
        <v>N</v>
      </c>
      <c r="G28" s="16" t="str">
        <f>IF(AND(G25=0,G26&gt;0),"Y","N")</f>
        <v>N</v>
      </c>
      <c r="H28" s="16" t="str">
        <f>IF(AND(H25=0,H26&gt;0),"Y","N")</f>
        <v>N</v>
      </c>
      <c r="I28" s="16" t="str">
        <f>IF(AND(I25=0,I26&gt;0),"Y","N")</f>
        <v>N</v>
      </c>
      <c r="K28" s="9">
        <f>COUNTIF(E28:I28,"Y")</f>
        <v>0</v>
      </c>
      <c r="M28" s="26" t="s">
        <v>56</v>
      </c>
      <c r="N28" s="5"/>
      <c r="O28" s="5"/>
      <c r="P28" s="25"/>
      <c r="Q28" s="26" t="e">
        <f>"Funding is available for "&amp;O23&amp;" weeks of the year. This may leave a couple of days unfunded where session fees are payable in full."</f>
        <v>#REF!</v>
      </c>
      <c r="X28" s="6" t="str">
        <f t="shared" si="12"/>
        <v>Main selected PM</v>
      </c>
      <c r="Y28" s="5"/>
      <c r="Z28" s="16" t="str">
        <f>IF(AND(Z25=0,Z26&gt;0),"Y","N")</f>
        <v>N</v>
      </c>
      <c r="AA28" s="16" t="str">
        <f>IF(AND(AA25=0,AA26&gt;0),"Y","N")</f>
        <v>N</v>
      </c>
      <c r="AB28" s="16" t="str">
        <f>IF(AND(AB25=0,AB26&gt;0),"Y","N")</f>
        <v>N</v>
      </c>
      <c r="AC28" s="16" t="str">
        <f>IF(AND(AC25=0,AC26&gt;0),"Y","N")</f>
        <v>N</v>
      </c>
      <c r="AD28" s="16" t="str">
        <f>IF(AND(AD25=0,AD26&gt;0),"Y","N")</f>
        <v>N</v>
      </c>
      <c r="AF28" s="9">
        <f>COUNTIF(Z28:AD28,"Y")</f>
        <v>0</v>
      </c>
      <c r="AH28" s="22" t="str">
        <f t="shared" si="14"/>
        <v>Please select a Core Session to attend the Add-on</v>
      </c>
      <c r="AI28" s="5"/>
      <c r="AJ28" s="5"/>
      <c r="AK28" s="25"/>
      <c r="AL28" s="26" t="e">
        <f>"Funding is available for "&amp;AJ23&amp;" weeks of the year. This may leave a couple of days unfunded where session fees are payable in full."</f>
        <v>#REF!</v>
      </c>
    </row>
    <row r="29" spans="1:39" hidden="1" x14ac:dyDescent="0.2">
      <c r="A29" s="8"/>
      <c r="C29" s="6" t="s">
        <v>57</v>
      </c>
      <c r="D29" s="5"/>
      <c r="E29" s="16" t="str">
        <f>IF(COUNTA(E45,E51)=2,"Y","N")</f>
        <v>N</v>
      </c>
      <c r="F29" s="16" t="str">
        <f>IF(COUNTA(F45,F51)=2,"Y","N")</f>
        <v>N</v>
      </c>
      <c r="G29" s="16" t="str">
        <f>IF(COUNTA(G45,G51)=2,"Y","N")</f>
        <v>N</v>
      </c>
      <c r="H29" s="16" t="str">
        <f>IF(COUNTA(H45,H51)=2,"Y","N")</f>
        <v>N</v>
      </c>
      <c r="I29" s="16" t="str">
        <f>IF(COUNTA(I45,I51)=2,"Y","N")</f>
        <v>N</v>
      </c>
      <c r="K29" s="9">
        <f>COUNTIF(E29:I29,"Y")</f>
        <v>0</v>
      </c>
      <c r="M29" s="18" t="s">
        <v>58</v>
      </c>
      <c r="O29" s="5"/>
      <c r="X29" s="6" t="str">
        <f t="shared" si="12"/>
        <v>Afternoon Lunch</v>
      </c>
      <c r="Y29" s="5"/>
      <c r="Z29" s="16" t="str">
        <f>IF(COUNTA(Z45,Z51)=2,"Y","N")</f>
        <v>N</v>
      </c>
      <c r="AA29" s="16" t="str">
        <f>IF(COUNTA(AA45,AA51)=2,"Y","N")</f>
        <v>N</v>
      </c>
      <c r="AB29" s="16" t="str">
        <f>IF(COUNTA(AB45,AB51)=2,"Y","N")</f>
        <v>N</v>
      </c>
      <c r="AC29" s="16" t="str">
        <f>IF(COUNTA(AC45,AC51)=2,"Y","N")</f>
        <v>N</v>
      </c>
      <c r="AD29" s="16" t="str">
        <f>IF(COUNTA(AD45,AD51)=2,"Y","N")</f>
        <v>N</v>
      </c>
      <c r="AF29" s="9">
        <f>COUNTIF(Z29:AD29,"Y")</f>
        <v>0</v>
      </c>
      <c r="AH29" s="22" t="str">
        <f t="shared" si="14"/>
        <v>Lunch is not available during Afternoon Sessions</v>
      </c>
      <c r="AJ29" s="5"/>
    </row>
    <row r="30" spans="1:39" ht="13.5" hidden="1" thickBot="1" x14ac:dyDescent="0.25">
      <c r="A30" s="8"/>
      <c r="D30" s="5"/>
      <c r="E30" s="9"/>
      <c r="F30" s="9"/>
      <c r="G30" s="9"/>
      <c r="H30" s="9"/>
      <c r="I30" s="9"/>
      <c r="K30" s="9"/>
      <c r="O30" s="5"/>
      <c r="Y30" s="5"/>
      <c r="Z30" s="9"/>
      <c r="AA30" s="9"/>
      <c r="AB30" s="9"/>
      <c r="AC30" s="9"/>
      <c r="AD30" s="9"/>
      <c r="AF30" s="9"/>
      <c r="AJ30" s="5"/>
    </row>
    <row r="31" spans="1:39" ht="13.5" customHeight="1" thickBot="1" x14ac:dyDescent="0.25">
      <c r="B31" s="27"/>
      <c r="C31" s="28"/>
      <c r="D31" s="28"/>
      <c r="E31" s="29"/>
      <c r="F31" s="29"/>
      <c r="G31" s="155" t="str">
        <f>O15</f>
        <v>Sunrise and Sunset sessions only available at Brighton</v>
      </c>
      <c r="H31" s="155"/>
      <c r="I31" s="155"/>
      <c r="J31" s="156"/>
      <c r="K31" s="9"/>
      <c r="O31" s="5"/>
      <c r="W31" s="27"/>
      <c r="X31" s="28"/>
      <c r="Y31" s="28"/>
      <c r="Z31" s="29"/>
      <c r="AA31" s="29"/>
      <c r="AB31" s="155" t="str">
        <f>AJ15</f>
        <v>Sunrise and Sunset sessions only available at Brighton</v>
      </c>
      <c r="AC31" s="155"/>
      <c r="AD31" s="155"/>
      <c r="AE31" s="156"/>
      <c r="AF31" s="9"/>
      <c r="AJ31" s="5"/>
    </row>
    <row r="32" spans="1:39" ht="18" customHeight="1" thickBot="1" x14ac:dyDescent="0.25">
      <c r="B32" s="30"/>
      <c r="C32" s="31" t="s">
        <v>32</v>
      </c>
      <c r="D32" s="31"/>
      <c r="E32" s="140" t="s">
        <v>33</v>
      </c>
      <c r="F32" s="141"/>
      <c r="G32" s="139"/>
      <c r="H32" s="139"/>
      <c r="I32" s="139"/>
      <c r="J32" s="157"/>
      <c r="K32" s="9"/>
      <c r="M32" s="32" t="str">
        <f>IF(E36=M11,O11,IF(E36=M12,O12,IF(E36=M13,O13,O10)))</f>
        <v>funding is available to all 3 &amp; 4 year olds and qualifying 2 year olds.</v>
      </c>
      <c r="O32" s="5"/>
      <c r="W32" s="30"/>
      <c r="X32" s="31" t="s">
        <v>32</v>
      </c>
      <c r="Y32" s="31"/>
      <c r="Z32" s="160" t="str">
        <f>E32</f>
        <v>YS Brighton</v>
      </c>
      <c r="AA32" s="161"/>
      <c r="AB32" s="139"/>
      <c r="AC32" s="139"/>
      <c r="AD32" s="139"/>
      <c r="AE32" s="157"/>
      <c r="AF32" s="9"/>
      <c r="AH32" s="32" t="str">
        <f>IF(Z36=AH11,AJ11,IF(Z36=AH12,AJ12,IF(Z36=AH13,AJ13,AJ10)))</f>
        <v>funding for 2 year olds is available from the term after your child's 2nd birthday, and for qualifying children only.</v>
      </c>
      <c r="AJ32" s="5"/>
    </row>
    <row r="33" spans="2:42" ht="7.5" customHeight="1" thickBot="1" x14ac:dyDescent="0.25">
      <c r="B33" s="30"/>
      <c r="C33" s="31"/>
      <c r="D33" s="31"/>
      <c r="E33" s="33"/>
      <c r="F33" s="33"/>
      <c r="G33" s="139"/>
      <c r="H33" s="139"/>
      <c r="I33" s="139"/>
      <c r="J33" s="157"/>
      <c r="K33" s="9"/>
      <c r="O33" s="5"/>
      <c r="W33" s="30"/>
      <c r="X33" s="31"/>
      <c r="Y33" s="31"/>
      <c r="Z33" s="33"/>
      <c r="AA33" s="33"/>
      <c r="AB33" s="139"/>
      <c r="AC33" s="139"/>
      <c r="AD33" s="139"/>
      <c r="AE33" s="157"/>
      <c r="AF33" s="9"/>
      <c r="AJ33" s="5"/>
    </row>
    <row r="34" spans="2:42" ht="18" customHeight="1" thickBot="1" x14ac:dyDescent="0.25">
      <c r="B34" s="30"/>
      <c r="C34" s="31" t="s">
        <v>38</v>
      </c>
      <c r="D34" s="31"/>
      <c r="E34" s="140" t="s">
        <v>43</v>
      </c>
      <c r="F34" s="141"/>
      <c r="G34" s="158" t="e">
        <f>IF(AND(E$32=M$17,E$34=M$23),M$25,"")</f>
        <v>#REF!</v>
      </c>
      <c r="H34" s="158"/>
      <c r="I34" s="158"/>
      <c r="J34" s="34"/>
      <c r="M34" s="26" t="e">
        <f>"You will be claiming "&amp;U43&amp;"hrs of funding/week over "&amp;U45&amp;"wks."</f>
        <v>#REF!</v>
      </c>
      <c r="W34" s="30"/>
      <c r="X34" s="31" t="s">
        <v>38</v>
      </c>
      <c r="Y34" s="31"/>
      <c r="Z34" s="140" t="s">
        <v>43</v>
      </c>
      <c r="AA34" s="141"/>
      <c r="AB34" s="158" t="e">
        <f>IF(AND(Z$32=AH$17,Z$34=AH$23),AH$25,"")</f>
        <v>#REF!</v>
      </c>
      <c r="AC34" s="158"/>
      <c r="AD34" s="158"/>
      <c r="AE34" s="34"/>
      <c r="AH34" s="26" t="e">
        <f>"You will be claiming "&amp;AP43&amp;"hrs of funding/week over "&amp;AP45&amp;"wks."</f>
        <v>#REF!</v>
      </c>
    </row>
    <row r="35" spans="2:42" ht="7.5" customHeight="1" thickBot="1" x14ac:dyDescent="0.25">
      <c r="B35" s="30"/>
      <c r="C35" s="31"/>
      <c r="D35" s="31"/>
      <c r="E35" s="33"/>
      <c r="F35" s="33"/>
      <c r="G35" s="35"/>
      <c r="J35" s="36"/>
      <c r="W35" s="30"/>
      <c r="X35" s="31"/>
      <c r="Y35" s="31"/>
      <c r="Z35" s="33"/>
      <c r="AA35" s="33"/>
      <c r="AB35" s="35"/>
      <c r="AE35" s="36"/>
    </row>
    <row r="36" spans="2:42" ht="18" customHeight="1" thickBot="1" x14ac:dyDescent="0.25">
      <c r="B36" s="30"/>
      <c r="C36" s="31" t="s">
        <v>23</v>
      </c>
      <c r="D36" s="31"/>
      <c r="E36" s="140" t="s">
        <v>24</v>
      </c>
      <c r="F36" s="141"/>
      <c r="G36" s="158"/>
      <c r="H36" s="158"/>
      <c r="I36" s="158"/>
      <c r="J36" s="34"/>
      <c r="M36" s="26" t="s">
        <v>59</v>
      </c>
      <c r="W36" s="30"/>
      <c r="X36" s="31" t="s">
        <v>23</v>
      </c>
      <c r="Y36" s="31"/>
      <c r="Z36" s="140" t="s">
        <v>26</v>
      </c>
      <c r="AA36" s="141"/>
      <c r="AB36" s="162"/>
      <c r="AC36" s="158"/>
      <c r="AD36" s="158"/>
      <c r="AE36" s="34"/>
      <c r="AH36" s="22" t="str">
        <f>M36</f>
        <v>You are not claiming any funding</v>
      </c>
    </row>
    <row r="37" spans="2:42" ht="7.5" customHeight="1" thickBot="1" x14ac:dyDescent="0.25">
      <c r="B37" s="30"/>
      <c r="C37" s="3"/>
      <c r="D37" s="3"/>
      <c r="G37" s="139" t="str">
        <f>IF(E38=M20,O20,"")</f>
        <v/>
      </c>
      <c r="H37" s="139"/>
      <c r="I37" s="139"/>
      <c r="J37" s="36"/>
      <c r="W37" s="30"/>
      <c r="X37" s="3"/>
      <c r="Y37" s="3"/>
      <c r="AB37" s="139" t="str">
        <f>IF(Z38=AH20,AJ20,"")</f>
        <v/>
      </c>
      <c r="AC37" s="139"/>
      <c r="AD37" s="139"/>
      <c r="AE37" s="36"/>
    </row>
    <row r="38" spans="2:42" ht="18" customHeight="1" thickBot="1" x14ac:dyDescent="0.25">
      <c r="B38" s="30"/>
      <c r="C38" s="31" t="s">
        <v>89</v>
      </c>
      <c r="D38" s="31"/>
      <c r="E38" s="140" t="s">
        <v>90</v>
      </c>
      <c r="F38" s="141"/>
      <c r="G38" s="139"/>
      <c r="H38" s="139"/>
      <c r="I38" s="139"/>
      <c r="J38" s="36"/>
      <c r="W38" s="30"/>
      <c r="X38" s="31" t="s">
        <v>89</v>
      </c>
      <c r="Y38" s="31"/>
      <c r="Z38" s="140" t="s">
        <v>90</v>
      </c>
      <c r="AA38" s="141"/>
      <c r="AB38" s="139"/>
      <c r="AC38" s="139"/>
      <c r="AD38" s="139"/>
      <c r="AE38" s="36"/>
    </row>
    <row r="39" spans="2:42" ht="7.5" customHeight="1" x14ac:dyDescent="0.2">
      <c r="B39" s="30"/>
      <c r="C39" s="3"/>
      <c r="D39" s="3"/>
      <c r="G39" s="139"/>
      <c r="H39" s="139"/>
      <c r="I39" s="139"/>
      <c r="J39" s="36"/>
      <c r="W39" s="30"/>
      <c r="X39" s="3"/>
      <c r="Y39" s="3"/>
      <c r="AB39" s="139"/>
      <c r="AC39" s="139"/>
      <c r="AD39" s="139"/>
      <c r="AE39" s="36"/>
    </row>
    <row r="40" spans="2:42" ht="42" customHeight="1" x14ac:dyDescent="0.2">
      <c r="B40" s="30"/>
      <c r="C40" s="144" t="str">
        <f>"Please note that "&amp;M32</f>
        <v>Please note that funding is available to all 3 &amp; 4 year olds and qualifying 2 year olds.</v>
      </c>
      <c r="D40" s="144"/>
      <c r="E40" s="144"/>
      <c r="F40" s="144"/>
      <c r="G40" s="144"/>
      <c r="H40" s="144"/>
      <c r="I40" s="144"/>
      <c r="J40" s="37"/>
      <c r="L40" s="38" t="s">
        <v>60</v>
      </c>
      <c r="M40" s="38" t="s">
        <v>61</v>
      </c>
      <c r="N40" s="38" t="s">
        <v>62</v>
      </c>
      <c r="O40" s="38" t="s">
        <v>92</v>
      </c>
      <c r="P40" s="38" t="s">
        <v>63</v>
      </c>
      <c r="Q40" s="38" t="s">
        <v>64</v>
      </c>
      <c r="R40" s="38" t="s">
        <v>23</v>
      </c>
      <c r="S40" s="38" t="s">
        <v>65</v>
      </c>
      <c r="W40" s="30"/>
      <c r="X40" s="144" t="str">
        <f>"Please note that "&amp;AH32</f>
        <v>Please note that funding for 2 year olds is available from the term after your child's 2nd birthday, and for qualifying children only.</v>
      </c>
      <c r="Y40" s="144"/>
      <c r="Z40" s="144"/>
      <c r="AA40" s="144"/>
      <c r="AB40" s="144"/>
      <c r="AC40" s="144"/>
      <c r="AD40" s="144"/>
      <c r="AE40" s="37"/>
      <c r="AG40" s="38" t="s">
        <v>60</v>
      </c>
      <c r="AH40" s="38" t="s">
        <v>61</v>
      </c>
      <c r="AI40" s="38" t="s">
        <v>62</v>
      </c>
      <c r="AJ40" s="38" t="s">
        <v>92</v>
      </c>
      <c r="AK40" s="38" t="s">
        <v>63</v>
      </c>
      <c r="AL40" s="38" t="s">
        <v>64</v>
      </c>
      <c r="AM40" s="38" t="s">
        <v>23</v>
      </c>
      <c r="AN40" s="38" t="s">
        <v>65</v>
      </c>
    </row>
    <row r="41" spans="2:42" s="38" customFormat="1" ht="18.75" customHeight="1" thickBot="1" x14ac:dyDescent="0.25">
      <c r="B41" s="39"/>
      <c r="C41" s="40"/>
      <c r="D41" s="40"/>
      <c r="E41" s="12" t="s">
        <v>66</v>
      </c>
      <c r="F41" s="12" t="s">
        <v>67</v>
      </c>
      <c r="G41" s="12" t="s">
        <v>68</v>
      </c>
      <c r="H41" s="12" t="s">
        <v>69</v>
      </c>
      <c r="I41" s="12" t="s">
        <v>70</v>
      </c>
      <c r="J41" s="41"/>
      <c r="K41" s="12"/>
      <c r="T41" s="6" t="s">
        <v>71</v>
      </c>
      <c r="U41" s="16">
        <f>IF(E36=M13,2,1)</f>
        <v>1</v>
      </c>
      <c r="W41" s="39"/>
      <c r="X41" s="40"/>
      <c r="Y41" s="40"/>
      <c r="Z41" s="12" t="s">
        <v>66</v>
      </c>
      <c r="AA41" s="12" t="s">
        <v>67</v>
      </c>
      <c r="AB41" s="12" t="s">
        <v>68</v>
      </c>
      <c r="AC41" s="12" t="s">
        <v>69</v>
      </c>
      <c r="AD41" s="12" t="s">
        <v>70</v>
      </c>
      <c r="AE41" s="41"/>
      <c r="AF41" s="12"/>
      <c r="AO41" s="6" t="s">
        <v>71</v>
      </c>
      <c r="AP41" s="16">
        <f>IF(Z36=AH13,2,1)</f>
        <v>1</v>
      </c>
    </row>
    <row r="42" spans="2:42" ht="14.25" x14ac:dyDescent="0.2">
      <c r="B42" s="30"/>
      <c r="C42" s="31" t="str">
        <f t="shared" ref="C42:C49" si="15">C10</f>
        <v>Sunrise</v>
      </c>
      <c r="D42" s="31"/>
      <c r="E42" s="42"/>
      <c r="F42" s="43"/>
      <c r="G42" s="43"/>
      <c r="H42" s="43"/>
      <c r="I42" s="44"/>
      <c r="J42" s="45"/>
      <c r="K42" s="33"/>
      <c r="L42" s="9" t="e">
        <f t="shared" ref="L42:L49" si="16">G10</f>
        <v>#REF!</v>
      </c>
      <c r="M42" s="9" t="e">
        <f>IF(E32=M15,COUNTA(E42:I42),0)</f>
        <v>#REF!</v>
      </c>
      <c r="N42" s="9" t="e">
        <f>L42*M42</f>
        <v>#REF!</v>
      </c>
      <c r="O42" s="46">
        <v>0</v>
      </c>
      <c r="P42" s="47" t="e">
        <f>ROUND(H$18*L42*(1-O42),2)</f>
        <v>#REF!</v>
      </c>
      <c r="Q42" s="48" t="e">
        <f>M42*P42</f>
        <v>#REF!</v>
      </c>
      <c r="R42" s="9">
        <v>0</v>
      </c>
      <c r="S42" s="9" t="e">
        <f>R42*M42</f>
        <v>#REF!</v>
      </c>
      <c r="T42" s="6" t="s">
        <v>72</v>
      </c>
      <c r="U42" s="16" t="e">
        <f>IF(E34=M23,N23,N22)*U41</f>
        <v>#REF!</v>
      </c>
      <c r="W42" s="30"/>
      <c r="X42" s="31" t="str">
        <f t="shared" ref="X42:X49" si="17">X10</f>
        <v>Sunrise</v>
      </c>
      <c r="Y42" s="31"/>
      <c r="Z42" s="42"/>
      <c r="AA42" s="43"/>
      <c r="AB42" s="43"/>
      <c r="AC42" s="43"/>
      <c r="AD42" s="44"/>
      <c r="AE42" s="45"/>
      <c r="AF42" s="33"/>
      <c r="AG42" s="9" t="e">
        <f t="shared" ref="AG42:AG49" si="18">AB10</f>
        <v>#REF!</v>
      </c>
      <c r="AH42" s="9" t="e">
        <f>IF(Z32=AH15,COUNTA(Z42:AD42),0)</f>
        <v>#REF!</v>
      </c>
      <c r="AI42" s="9" t="e">
        <f>AG42*AH42</f>
        <v>#REF!</v>
      </c>
      <c r="AJ42" s="46">
        <v>0</v>
      </c>
      <c r="AK42" s="47" t="e">
        <f>ROUND(AC$18*AG42*(1-AJ42),2)</f>
        <v>#REF!</v>
      </c>
      <c r="AL42" s="48" t="e">
        <f>AH42*AK42</f>
        <v>#REF!</v>
      </c>
      <c r="AM42" s="9">
        <v>0</v>
      </c>
      <c r="AN42" s="9" t="e">
        <f>AM42*AH42</f>
        <v>#REF!</v>
      </c>
      <c r="AO42" s="6" t="s">
        <v>72</v>
      </c>
      <c r="AP42" s="16" t="e">
        <f>IF(Z34=AH23,AI23,AI22)*AP41</f>
        <v>#REF!</v>
      </c>
    </row>
    <row r="43" spans="2:42" ht="15" thickBot="1" x14ac:dyDescent="0.25">
      <c r="B43" s="30"/>
      <c r="C43" s="31" t="str">
        <f t="shared" si="15"/>
        <v>Early Start</v>
      </c>
      <c r="D43" s="31"/>
      <c r="E43" s="49"/>
      <c r="F43" s="50"/>
      <c r="G43" s="50"/>
      <c r="H43" s="50"/>
      <c r="I43" s="51"/>
      <c r="J43" s="45"/>
      <c r="K43" s="33"/>
      <c r="L43" s="9" t="e">
        <f t="shared" si="16"/>
        <v>#REF!</v>
      </c>
      <c r="M43" s="9">
        <f t="shared" ref="M43:M51" si="19">COUNTA(E43:I43)</f>
        <v>0</v>
      </c>
      <c r="N43" s="9" t="e">
        <f t="shared" ref="N43:N49" si="20">L43*M43</f>
        <v>#REF!</v>
      </c>
      <c r="O43" s="46">
        <v>0</v>
      </c>
      <c r="P43" s="47" t="e">
        <f t="shared" ref="P43:P45" si="21">ROUND(H$18*L43*(1-O43),2)</f>
        <v>#REF!</v>
      </c>
      <c r="Q43" s="48" t="e">
        <f>M43*P43</f>
        <v>#REF!</v>
      </c>
      <c r="R43" s="9">
        <v>0</v>
      </c>
      <c r="S43" s="9">
        <f t="shared" ref="S43:S49" si="22">R43*M43</f>
        <v>0</v>
      </c>
      <c r="T43" s="6" t="s">
        <v>73</v>
      </c>
      <c r="U43" s="52" t="e">
        <f>IF(S53&gt;U42,U42,S53)</f>
        <v>#REF!</v>
      </c>
      <c r="W43" s="30"/>
      <c r="X43" s="31" t="str">
        <f t="shared" si="17"/>
        <v>Early Start</v>
      </c>
      <c r="Y43" s="31"/>
      <c r="Z43" s="49"/>
      <c r="AA43" s="50"/>
      <c r="AB43" s="50"/>
      <c r="AC43" s="50"/>
      <c r="AD43" s="51"/>
      <c r="AE43" s="45"/>
      <c r="AF43" s="33"/>
      <c r="AG43" s="9" t="e">
        <f t="shared" si="18"/>
        <v>#REF!</v>
      </c>
      <c r="AH43" s="9">
        <f t="shared" ref="AH43:AH48" si="23">COUNTA(Z43:AD43)</f>
        <v>0</v>
      </c>
      <c r="AI43" s="9" t="e">
        <f t="shared" ref="AI43:AI46" si="24">AG43*AH43</f>
        <v>#REF!</v>
      </c>
      <c r="AJ43" s="46">
        <v>0</v>
      </c>
      <c r="AK43" s="47" t="e">
        <f>ROUND(AC$18*AG43*(1-AJ43),2)</f>
        <v>#REF!</v>
      </c>
      <c r="AL43" s="48" t="e">
        <f>AH43*AK43</f>
        <v>#REF!</v>
      </c>
      <c r="AM43" s="9">
        <v>0</v>
      </c>
      <c r="AN43" s="9">
        <f t="shared" ref="AN43:AN46" si="25">AM43*AH43</f>
        <v>0</v>
      </c>
      <c r="AO43" s="6" t="s">
        <v>73</v>
      </c>
      <c r="AP43" s="52" t="e">
        <f>IF(AN53&gt;AP42,AP42,AN53)</f>
        <v>#REF!</v>
      </c>
    </row>
    <row r="44" spans="2:42" ht="14.25" x14ac:dyDescent="0.2">
      <c r="B44" s="30"/>
      <c r="C44" s="31" t="str">
        <f t="shared" si="15"/>
        <v>Morning</v>
      </c>
      <c r="D44" s="31"/>
      <c r="E44" s="42"/>
      <c r="F44" s="43"/>
      <c r="G44" s="43"/>
      <c r="H44" s="43"/>
      <c r="I44" s="44"/>
      <c r="J44" s="45"/>
      <c r="K44" s="33"/>
      <c r="L44" s="9" t="e">
        <f t="shared" si="16"/>
        <v>#REF!</v>
      </c>
      <c r="M44" s="9">
        <f t="shared" si="19"/>
        <v>0</v>
      </c>
      <c r="N44" s="9" t="e">
        <f t="shared" si="20"/>
        <v>#REF!</v>
      </c>
      <c r="O44" s="46">
        <v>0</v>
      </c>
      <c r="P44" s="47" t="e">
        <f t="shared" si="21"/>
        <v>#REF!</v>
      </c>
      <c r="Q44" s="48" t="e">
        <f>M44*P44</f>
        <v>#REF!</v>
      </c>
      <c r="R44" s="9">
        <f>IF($E$36=$M$10,0,I12)</f>
        <v>0</v>
      </c>
      <c r="S44" s="9">
        <f t="shared" si="22"/>
        <v>0</v>
      </c>
      <c r="T44" s="6" t="s">
        <v>13</v>
      </c>
      <c r="U44" s="17">
        <f>IF(E36=M11,N11,IF(E36=M12,N12,IF(E36=M13,N13,N10)))</f>
        <v>0</v>
      </c>
      <c r="W44" s="30"/>
      <c r="X44" s="31" t="str">
        <f t="shared" si="17"/>
        <v>Morning</v>
      </c>
      <c r="Y44" s="31"/>
      <c r="Z44" s="42"/>
      <c r="AA44" s="43"/>
      <c r="AB44" s="43"/>
      <c r="AC44" s="43"/>
      <c r="AD44" s="44"/>
      <c r="AE44" s="45"/>
      <c r="AF44" s="33"/>
      <c r="AG44" s="9" t="e">
        <f t="shared" si="18"/>
        <v>#REF!</v>
      </c>
      <c r="AH44" s="9">
        <f t="shared" si="23"/>
        <v>0</v>
      </c>
      <c r="AI44" s="9" t="e">
        <f t="shared" si="24"/>
        <v>#REF!</v>
      </c>
      <c r="AJ44" s="46">
        <v>0</v>
      </c>
      <c r="AK44" s="47" t="e">
        <f t="shared" ref="AK44:AK45" si="26">ROUND(AC$18*AG44*(1-AJ44),2)</f>
        <v>#REF!</v>
      </c>
      <c r="AL44" s="48" t="e">
        <f>AH44*AK44</f>
        <v>#REF!</v>
      </c>
      <c r="AM44" s="9" t="e">
        <f>IF($Z$36=$AH$10,0,AD12)</f>
        <v>#REF!</v>
      </c>
      <c r="AN44" s="9" t="e">
        <f t="shared" si="25"/>
        <v>#REF!</v>
      </c>
      <c r="AO44" s="6" t="s">
        <v>13</v>
      </c>
      <c r="AP44" s="17" t="e">
        <f>IF(Z36=AH11,AI11,IF(Z36=AH12,AI12,IF(Z36=AH13,AI13,AI10)))</f>
        <v>#REF!</v>
      </c>
    </row>
    <row r="45" spans="2:42" ht="14.25" x14ac:dyDescent="0.2">
      <c r="B45" s="30"/>
      <c r="C45" s="31" t="str">
        <f t="shared" si="15"/>
        <v>Afternoon</v>
      </c>
      <c r="D45" s="31"/>
      <c r="E45" s="53"/>
      <c r="F45" s="54"/>
      <c r="G45" s="54"/>
      <c r="H45" s="54"/>
      <c r="I45" s="55"/>
      <c r="J45" s="45"/>
      <c r="K45" s="33"/>
      <c r="L45" s="9" t="e">
        <f t="shared" si="16"/>
        <v>#REF!</v>
      </c>
      <c r="M45" s="9">
        <f t="shared" si="19"/>
        <v>0</v>
      </c>
      <c r="N45" s="9" t="e">
        <f t="shared" si="20"/>
        <v>#REF!</v>
      </c>
      <c r="O45" s="46">
        <v>0</v>
      </c>
      <c r="P45" s="47" t="e">
        <f t="shared" si="21"/>
        <v>#REF!</v>
      </c>
      <c r="Q45" s="48" t="e">
        <f t="shared" ref="Q45:Q49" si="27">M45*P45</f>
        <v>#REF!</v>
      </c>
      <c r="R45" s="9">
        <f>IF($E$36=$M$10,0,I13)</f>
        <v>0</v>
      </c>
      <c r="S45" s="9">
        <f t="shared" si="22"/>
        <v>0</v>
      </c>
      <c r="T45" s="6" t="s">
        <v>74</v>
      </c>
      <c r="U45" s="56" t="e">
        <f>IF(E34=M23,O23,O22)</f>
        <v>#REF!</v>
      </c>
      <c r="W45" s="30"/>
      <c r="X45" s="31" t="str">
        <f t="shared" si="17"/>
        <v>Afternoon</v>
      </c>
      <c r="Y45" s="31"/>
      <c r="Z45" s="53"/>
      <c r="AA45" s="54"/>
      <c r="AB45" s="54"/>
      <c r="AC45" s="54"/>
      <c r="AD45" s="55"/>
      <c r="AE45" s="45"/>
      <c r="AF45" s="33"/>
      <c r="AG45" s="9" t="e">
        <f t="shared" si="18"/>
        <v>#REF!</v>
      </c>
      <c r="AH45" s="9">
        <f t="shared" si="23"/>
        <v>0</v>
      </c>
      <c r="AI45" s="9" t="e">
        <f t="shared" si="24"/>
        <v>#REF!</v>
      </c>
      <c r="AJ45" s="46">
        <v>0</v>
      </c>
      <c r="AK45" s="47" t="e">
        <f t="shared" si="26"/>
        <v>#REF!</v>
      </c>
      <c r="AL45" s="48" t="e">
        <f t="shared" ref="AL45" si="28">AH45*AK45</f>
        <v>#REF!</v>
      </c>
      <c r="AM45" s="9" t="e">
        <f>IF($Z$36=$AH$10,0,AD13)</f>
        <v>#REF!</v>
      </c>
      <c r="AN45" s="9" t="e">
        <f t="shared" si="25"/>
        <v>#REF!</v>
      </c>
      <c r="AO45" s="6" t="s">
        <v>74</v>
      </c>
      <c r="AP45" s="56" t="e">
        <f>IF(Z34=AH23,AJ23,AJ22)</f>
        <v>#REF!</v>
      </c>
    </row>
    <row r="46" spans="2:42" ht="14.25" x14ac:dyDescent="0.2">
      <c r="B46" s="30"/>
      <c r="C46" s="31" t="str">
        <f t="shared" si="15"/>
        <v>School Day</v>
      </c>
      <c r="D46" s="31"/>
      <c r="E46" s="53"/>
      <c r="F46" s="54"/>
      <c r="G46" s="54"/>
      <c r="H46" s="54"/>
      <c r="I46" s="55"/>
      <c r="J46" s="45"/>
      <c r="K46" s="33"/>
      <c r="L46" s="9" t="e">
        <f t="shared" si="16"/>
        <v>#REF!</v>
      </c>
      <c r="M46" s="9">
        <f t="shared" si="19"/>
        <v>0</v>
      </c>
      <c r="N46" s="9" t="e">
        <f t="shared" si="20"/>
        <v>#REF!</v>
      </c>
      <c r="O46" s="99">
        <f>IF(M46=5,#REF!,0)</f>
        <v>0</v>
      </c>
      <c r="P46" s="100" t="e">
        <f>IF(E$38=M$20,(ROUND(N$19*L46*(1-O46),2))*(1-#REF!),ROUND(N$19*L46*(1-O46),2))</f>
        <v>#REF!</v>
      </c>
      <c r="Q46" s="48" t="e">
        <f>M46*P46</f>
        <v>#REF!</v>
      </c>
      <c r="R46" s="9">
        <f>IF($E$36=$M$10,0,I14)</f>
        <v>0</v>
      </c>
      <c r="S46" s="9">
        <f t="shared" si="22"/>
        <v>0</v>
      </c>
      <c r="T46" s="6" t="s">
        <v>75</v>
      </c>
      <c r="U46" s="16" t="e">
        <f>U43*U45</f>
        <v>#REF!</v>
      </c>
      <c r="W46" s="30"/>
      <c r="X46" s="31" t="str">
        <f t="shared" si="17"/>
        <v>School Day</v>
      </c>
      <c r="Y46" s="31"/>
      <c r="Z46" s="53"/>
      <c r="AA46" s="54"/>
      <c r="AB46" s="54"/>
      <c r="AC46" s="54"/>
      <c r="AD46" s="55"/>
      <c r="AE46" s="45"/>
      <c r="AF46" s="33"/>
      <c r="AG46" s="9" t="e">
        <f t="shared" si="18"/>
        <v>#REF!</v>
      </c>
      <c r="AH46" s="9">
        <f t="shared" si="23"/>
        <v>0</v>
      </c>
      <c r="AI46" s="9" t="e">
        <f t="shared" si="24"/>
        <v>#REF!</v>
      </c>
      <c r="AJ46" s="99">
        <f>IF(AH46=5,#REF!,0)</f>
        <v>0</v>
      </c>
      <c r="AK46" s="100" t="e">
        <f>IF(Z$38=AH$20,(ROUND(AI$19*AG46*(1-AJ46),2))*(1-#REF!),ROUND(AI$19*AG46*(1-AJ46),2))</f>
        <v>#REF!</v>
      </c>
      <c r="AL46" s="48" t="e">
        <f>AH46*AK46</f>
        <v>#REF!</v>
      </c>
      <c r="AM46" s="9" t="e">
        <f>IF($Z$36=$AH$10,0,AD14)</f>
        <v>#REF!</v>
      </c>
      <c r="AN46" s="9" t="e">
        <f t="shared" si="25"/>
        <v>#REF!</v>
      </c>
      <c r="AO46" s="6" t="s">
        <v>75</v>
      </c>
      <c r="AP46" s="16" t="e">
        <f>AP43*AP45</f>
        <v>#REF!</v>
      </c>
    </row>
    <row r="47" spans="2:42" ht="15" thickBot="1" x14ac:dyDescent="0.25">
      <c r="B47" s="30"/>
      <c r="C47" s="31" t="str">
        <f t="shared" si="15"/>
        <v>Full Day</v>
      </c>
      <c r="D47" s="31"/>
      <c r="E47" s="57"/>
      <c r="F47" s="58"/>
      <c r="G47" s="58"/>
      <c r="H47" s="58"/>
      <c r="I47" s="59"/>
      <c r="J47" s="45"/>
      <c r="K47" s="60"/>
      <c r="L47" s="9" t="e">
        <f t="shared" si="16"/>
        <v>#REF!</v>
      </c>
      <c r="M47" s="9">
        <f t="shared" si="19"/>
        <v>0</v>
      </c>
      <c r="N47" s="9" t="e">
        <f>L47*M47</f>
        <v>#REF!</v>
      </c>
      <c r="O47" s="101" t="e">
        <f>IF(M47=5,#REF!,#REF!)</f>
        <v>#REF!</v>
      </c>
      <c r="P47" s="102" t="e">
        <f>IF(E$38=M$20,(ROUND(N$19*L47*(1-O47),2))*(1-#REF!),ROUND(N$19*L47*(1-O47),2))</f>
        <v>#REF!</v>
      </c>
      <c r="Q47" s="48" t="e">
        <f t="shared" si="27"/>
        <v>#REF!</v>
      </c>
      <c r="R47" s="9">
        <f>IF($E$36=$M$10,0,I15)</f>
        <v>0</v>
      </c>
      <c r="S47" s="9">
        <f>R47*M47</f>
        <v>0</v>
      </c>
      <c r="T47" s="6" t="s">
        <v>76</v>
      </c>
      <c r="U47" s="61" t="e">
        <f>U46*U44</f>
        <v>#REF!</v>
      </c>
      <c r="W47" s="30"/>
      <c r="X47" s="31" t="str">
        <f t="shared" si="17"/>
        <v>Full Day</v>
      </c>
      <c r="Y47" s="31"/>
      <c r="Z47" s="57"/>
      <c r="AA47" s="58"/>
      <c r="AB47" s="58"/>
      <c r="AC47" s="58"/>
      <c r="AD47" s="59"/>
      <c r="AE47" s="45"/>
      <c r="AF47" s="60"/>
      <c r="AG47" s="9" t="e">
        <f t="shared" si="18"/>
        <v>#REF!</v>
      </c>
      <c r="AH47" s="9">
        <f t="shared" si="23"/>
        <v>0</v>
      </c>
      <c r="AI47" s="9" t="e">
        <f>AG47*AH47</f>
        <v>#REF!</v>
      </c>
      <c r="AJ47" s="101" t="e">
        <f>IF(AH47=5,#REF!,#REF!)</f>
        <v>#REF!</v>
      </c>
      <c r="AK47" s="102" t="e">
        <f>IF(Z$38=AH$20,(ROUND(AI$19*AG47*(1-AJ47),2))*(1-#REF!),ROUND(AI$19*AG47*(1-AJ47),2))</f>
        <v>#REF!</v>
      </c>
      <c r="AL47" s="48" t="e">
        <f t="shared" ref="AL47:AL49" si="29">AH47*AK47</f>
        <v>#REF!</v>
      </c>
      <c r="AM47" s="9" t="e">
        <f>IF($Z$36=$AH$10,0,AD15)</f>
        <v>#REF!</v>
      </c>
      <c r="AN47" s="9" t="e">
        <f>AM47*AH47</f>
        <v>#REF!</v>
      </c>
      <c r="AO47" s="6" t="s">
        <v>76</v>
      </c>
      <c r="AP47" s="61" t="e">
        <f>AP46*AP44</f>
        <v>#REF!</v>
      </c>
    </row>
    <row r="48" spans="2:42" ht="14.25" x14ac:dyDescent="0.2">
      <c r="B48" s="30"/>
      <c r="C48" s="31" t="str">
        <f t="shared" si="15"/>
        <v>Late Finish</v>
      </c>
      <c r="D48" s="31"/>
      <c r="E48" s="62"/>
      <c r="F48" s="63"/>
      <c r="G48" s="63"/>
      <c r="H48" s="63"/>
      <c r="I48" s="64"/>
      <c r="J48" s="45"/>
      <c r="K48" s="33"/>
      <c r="L48" s="9" t="e">
        <f t="shared" si="16"/>
        <v>#REF!</v>
      </c>
      <c r="M48" s="9">
        <f t="shared" si="19"/>
        <v>0</v>
      </c>
      <c r="N48" s="9" t="e">
        <f>L48*M48</f>
        <v>#REF!</v>
      </c>
      <c r="O48" s="46">
        <v>0</v>
      </c>
      <c r="P48" s="47" t="e">
        <f t="shared" ref="P48:P49" si="30">ROUND(H$18*L48*(1-O48),2)</f>
        <v>#REF!</v>
      </c>
      <c r="Q48" s="48" t="e">
        <f t="shared" si="27"/>
        <v>#REF!</v>
      </c>
      <c r="R48" s="9">
        <v>0</v>
      </c>
      <c r="S48" s="9">
        <f t="shared" si="22"/>
        <v>0</v>
      </c>
      <c r="T48" s="6" t="s">
        <v>41</v>
      </c>
      <c r="U48" s="16">
        <f>IF(E34=M22,Q22,Q23)</f>
        <v>51</v>
      </c>
      <c r="W48" s="30"/>
      <c r="X48" s="31" t="str">
        <f t="shared" si="17"/>
        <v>Late Finish</v>
      </c>
      <c r="Y48" s="31"/>
      <c r="Z48" s="62"/>
      <c r="AA48" s="63"/>
      <c r="AB48" s="63"/>
      <c r="AC48" s="63"/>
      <c r="AD48" s="64"/>
      <c r="AE48" s="45"/>
      <c r="AF48" s="33"/>
      <c r="AG48" s="9" t="e">
        <f t="shared" si="18"/>
        <v>#REF!</v>
      </c>
      <c r="AH48" s="9">
        <f t="shared" si="23"/>
        <v>0</v>
      </c>
      <c r="AI48" s="9" t="e">
        <f>AG48*AH48</f>
        <v>#REF!</v>
      </c>
      <c r="AJ48" s="46">
        <v>0</v>
      </c>
      <c r="AK48" s="47" t="e">
        <f>ROUND(AC$18*AG48*(1-AJ48),2)</f>
        <v>#REF!</v>
      </c>
      <c r="AL48" s="48" t="e">
        <f t="shared" si="29"/>
        <v>#REF!</v>
      </c>
      <c r="AM48" s="9">
        <v>0</v>
      </c>
      <c r="AN48" s="9">
        <f t="shared" ref="AN48:AN49" si="31">AM48*AH48</f>
        <v>0</v>
      </c>
      <c r="AO48" s="6" t="s">
        <v>41</v>
      </c>
      <c r="AP48" s="16">
        <f>IF(Z34=AH22,AL22,AL23)</f>
        <v>51</v>
      </c>
    </row>
    <row r="49" spans="2:42" ht="15" thickBot="1" x14ac:dyDescent="0.25">
      <c r="B49" s="30"/>
      <c r="C49" s="31" t="str">
        <f t="shared" si="15"/>
        <v>Sunset</v>
      </c>
      <c r="D49" s="31"/>
      <c r="E49" s="57"/>
      <c r="F49" s="58"/>
      <c r="G49" s="58"/>
      <c r="H49" s="58"/>
      <c r="I49" s="59"/>
      <c r="J49" s="45"/>
      <c r="K49" s="33"/>
      <c r="L49" s="9" t="e">
        <f t="shared" si="16"/>
        <v>#REF!</v>
      </c>
      <c r="M49" s="9" t="e">
        <f>IF(E32=M15,COUNTA(E49:I49),0)</f>
        <v>#REF!</v>
      </c>
      <c r="N49" s="9" t="e">
        <f t="shared" si="20"/>
        <v>#REF!</v>
      </c>
      <c r="O49" s="46">
        <v>0</v>
      </c>
      <c r="P49" s="47" t="e">
        <f t="shared" si="30"/>
        <v>#REF!</v>
      </c>
      <c r="Q49" s="48" t="e">
        <f t="shared" si="27"/>
        <v>#REF!</v>
      </c>
      <c r="R49" s="9">
        <v>0</v>
      </c>
      <c r="S49" s="9" t="e">
        <f t="shared" si="22"/>
        <v>#REF!</v>
      </c>
      <c r="T49" s="6" t="s">
        <v>77</v>
      </c>
      <c r="U49" s="61" t="e">
        <f>Q53*U48</f>
        <v>#REF!</v>
      </c>
      <c r="W49" s="30"/>
      <c r="X49" s="31" t="str">
        <f t="shared" si="17"/>
        <v>Sunset</v>
      </c>
      <c r="Y49" s="31"/>
      <c r="Z49" s="57"/>
      <c r="AA49" s="58"/>
      <c r="AB49" s="58"/>
      <c r="AC49" s="58"/>
      <c r="AD49" s="59"/>
      <c r="AE49" s="45"/>
      <c r="AF49" s="33"/>
      <c r="AG49" s="9" t="e">
        <f t="shared" si="18"/>
        <v>#REF!</v>
      </c>
      <c r="AH49" s="9" t="e">
        <f>IF(Z32=AH15,COUNTA(Z49:AD49),0)</f>
        <v>#REF!</v>
      </c>
      <c r="AI49" s="9" t="e">
        <f t="shared" ref="AI49" si="32">AG49*AH49</f>
        <v>#REF!</v>
      </c>
      <c r="AJ49" s="46">
        <v>0</v>
      </c>
      <c r="AK49" s="47" t="e">
        <f t="shared" ref="AK49" si="33">ROUND(AC$18*AG49*(1-AJ49),2)</f>
        <v>#REF!</v>
      </c>
      <c r="AL49" s="48" t="e">
        <f t="shared" si="29"/>
        <v>#REF!</v>
      </c>
      <c r="AM49" s="9">
        <v>0</v>
      </c>
      <c r="AN49" s="9" t="e">
        <f t="shared" si="31"/>
        <v>#REF!</v>
      </c>
      <c r="AO49" s="6" t="s">
        <v>77</v>
      </c>
      <c r="AP49" s="61" t="e">
        <f>AL53*AP48</f>
        <v>#REF!</v>
      </c>
    </row>
    <row r="50" spans="2:42" ht="7.5" customHeight="1" thickBot="1" x14ac:dyDescent="0.25">
      <c r="B50" s="30"/>
      <c r="C50" s="31"/>
      <c r="D50" s="31"/>
      <c r="E50" s="33"/>
      <c r="F50" s="33"/>
      <c r="G50" s="33"/>
      <c r="H50" s="33"/>
      <c r="I50" s="33"/>
      <c r="J50" s="45"/>
      <c r="K50" s="33"/>
      <c r="O50" s="46"/>
      <c r="P50" s="47"/>
      <c r="Q50" s="48"/>
      <c r="R50" s="9"/>
      <c r="S50" s="9"/>
      <c r="T50" s="6"/>
      <c r="U50" s="48"/>
      <c r="W50" s="30"/>
      <c r="X50" s="31"/>
      <c r="Y50" s="31"/>
      <c r="Z50" s="33"/>
      <c r="AA50" s="33"/>
      <c r="AB50" s="33"/>
      <c r="AC50" s="33"/>
      <c r="AD50" s="33"/>
      <c r="AE50" s="45"/>
      <c r="AF50" s="33"/>
      <c r="AJ50" s="46"/>
      <c r="AK50" s="47"/>
      <c r="AL50" s="48"/>
      <c r="AM50" s="9"/>
      <c r="AN50" s="9"/>
      <c r="AO50" s="6"/>
      <c r="AP50" s="48"/>
    </row>
    <row r="51" spans="2:42" ht="15" thickBot="1" x14ac:dyDescent="0.25">
      <c r="B51" s="30"/>
      <c r="C51" s="31" t="s">
        <v>18</v>
      </c>
      <c r="D51" s="31"/>
      <c r="E51" s="65"/>
      <c r="F51" s="66"/>
      <c r="G51" s="66"/>
      <c r="H51" s="66"/>
      <c r="I51" s="67"/>
      <c r="J51" s="45"/>
      <c r="K51" s="33"/>
      <c r="L51" s="9">
        <v>0</v>
      </c>
      <c r="M51" s="9">
        <f t="shared" si="19"/>
        <v>0</v>
      </c>
      <c r="O51" s="46"/>
      <c r="P51" s="47" t="e">
        <f>H19</f>
        <v>#REF!</v>
      </c>
      <c r="Q51" s="48" t="e">
        <f>M51*P51</f>
        <v>#REF!</v>
      </c>
      <c r="R51" s="9">
        <v>0</v>
      </c>
      <c r="S51" s="9">
        <v>0</v>
      </c>
      <c r="T51" s="6" t="s">
        <v>78</v>
      </c>
      <c r="U51" s="68" t="e">
        <f>U49-U47</f>
        <v>#REF!</v>
      </c>
      <c r="W51" s="30"/>
      <c r="X51" s="31" t="s">
        <v>18</v>
      </c>
      <c r="Y51" s="31"/>
      <c r="Z51" s="65"/>
      <c r="AA51" s="66"/>
      <c r="AB51" s="66"/>
      <c r="AC51" s="66"/>
      <c r="AD51" s="67"/>
      <c r="AE51" s="45"/>
      <c r="AF51" s="33"/>
      <c r="AG51" s="9">
        <v>0</v>
      </c>
      <c r="AH51" s="9">
        <f t="shared" ref="AH51" si="34">COUNTA(Z51:AD51)</f>
        <v>0</v>
      </c>
      <c r="AJ51" s="46"/>
      <c r="AK51" s="47" t="e">
        <f>AC19</f>
        <v>#REF!</v>
      </c>
      <c r="AL51" s="48" t="e">
        <f>AH51*AK51</f>
        <v>#REF!</v>
      </c>
      <c r="AM51" s="9">
        <v>0</v>
      </c>
      <c r="AN51" s="9">
        <v>0</v>
      </c>
      <c r="AO51" s="6" t="s">
        <v>78</v>
      </c>
      <c r="AP51" s="68" t="e">
        <f>AP49-AP47</f>
        <v>#REF!</v>
      </c>
    </row>
    <row r="52" spans="2:42" ht="7.5" customHeight="1" x14ac:dyDescent="0.2">
      <c r="B52" s="30"/>
      <c r="C52" s="31"/>
      <c r="D52" s="31"/>
      <c r="E52" s="33"/>
      <c r="F52" s="33"/>
      <c r="G52" s="33"/>
      <c r="H52" s="33"/>
      <c r="I52" s="33"/>
      <c r="J52" s="45"/>
      <c r="K52" s="33"/>
      <c r="O52" s="46"/>
      <c r="P52" s="47"/>
      <c r="Q52" s="48"/>
      <c r="R52" s="9"/>
      <c r="S52" s="9"/>
      <c r="W52" s="30"/>
      <c r="X52" s="31"/>
      <c r="Y52" s="31"/>
      <c r="Z52" s="33"/>
      <c r="AA52" s="33"/>
      <c r="AB52" s="33"/>
      <c r="AC52" s="33"/>
      <c r="AD52" s="33"/>
      <c r="AE52" s="45"/>
      <c r="AF52" s="33"/>
      <c r="AJ52" s="46"/>
      <c r="AK52" s="47"/>
      <c r="AL52" s="48"/>
      <c r="AM52" s="9"/>
      <c r="AN52" s="9"/>
    </row>
    <row r="53" spans="2:42" ht="15" x14ac:dyDescent="0.25">
      <c r="B53" s="30"/>
      <c r="C53" s="143" t="str">
        <f>IF(OR(K27&gt;0,K28&gt;0),M28,IF(K29&gt;0,M29,IF(K24="Y",M26,IF(OR(K23="Y",K25="Y",K26="Y"),M27,""))))</f>
        <v/>
      </c>
      <c r="D53" s="143"/>
      <c r="E53" s="143"/>
      <c r="F53" s="143"/>
      <c r="G53" s="143"/>
      <c r="H53" s="143"/>
      <c r="I53" s="143"/>
      <c r="J53" s="36"/>
      <c r="M53" s="69" t="e">
        <f>SUM(M42:M49)</f>
        <v>#REF!</v>
      </c>
      <c r="N53" s="69" t="e">
        <f>SUM(N42:N49)</f>
        <v>#REF!</v>
      </c>
      <c r="O53" s="69"/>
      <c r="P53" s="70"/>
      <c r="Q53" s="71" t="e">
        <f>SUM(Q42:Q51)</f>
        <v>#REF!</v>
      </c>
      <c r="R53" s="69"/>
      <c r="S53" s="69" t="e">
        <f>SUM(S42:S49)</f>
        <v>#REF!</v>
      </c>
      <c r="T53" s="6" t="s">
        <v>79</v>
      </c>
      <c r="U53" s="61" t="e">
        <f>ROUND(U51/12,2)</f>
        <v>#REF!</v>
      </c>
      <c r="W53" s="30"/>
      <c r="X53" s="143" t="str">
        <f>IF(OR(AF27&gt;0,AF28&gt;0),AH28,IF(AF29&gt;0,AH29,IF(AF24="Y",AH26,IF(OR(AF23="Y",AF25="Y",AF26="Y"),AH27,""))))</f>
        <v/>
      </c>
      <c r="Y53" s="143"/>
      <c r="Z53" s="143"/>
      <c r="AA53" s="143"/>
      <c r="AB53" s="143"/>
      <c r="AC53" s="143"/>
      <c r="AD53" s="143"/>
      <c r="AE53" s="36"/>
      <c r="AH53" s="69" t="e">
        <f>SUM(AH42:AH49)</f>
        <v>#REF!</v>
      </c>
      <c r="AI53" s="69" t="e">
        <f>SUM(AI42:AI49)</f>
        <v>#REF!</v>
      </c>
      <c r="AJ53" s="69"/>
      <c r="AK53" s="70"/>
      <c r="AL53" s="71" t="e">
        <f>SUM(AL42:AL51)</f>
        <v>#REF!</v>
      </c>
      <c r="AM53" s="69"/>
      <c r="AN53" s="69" t="e">
        <f>SUM(AN42:AN49)</f>
        <v>#REF!</v>
      </c>
      <c r="AO53" s="6" t="s">
        <v>79</v>
      </c>
      <c r="AP53" s="61" t="e">
        <f>ROUND(AP51/12,2)</f>
        <v>#REF!</v>
      </c>
    </row>
    <row r="54" spans="2:42" ht="7.5" customHeight="1" x14ac:dyDescent="0.2">
      <c r="B54" s="30"/>
      <c r="J54" s="36"/>
      <c r="Q54" s="48"/>
      <c r="R54" s="9"/>
      <c r="S54" s="9"/>
      <c r="W54" s="30"/>
      <c r="AE54" s="36"/>
      <c r="AL54" s="48"/>
      <c r="AM54" s="9"/>
      <c r="AN54" s="9"/>
    </row>
    <row r="55" spans="2:42" ht="7.5" customHeight="1" x14ac:dyDescent="0.2">
      <c r="B55" s="30"/>
      <c r="C55" s="90"/>
      <c r="D55" s="90"/>
      <c r="E55" s="91"/>
      <c r="F55" s="91"/>
      <c r="G55" s="91"/>
      <c r="H55" s="91"/>
      <c r="I55" s="91"/>
      <c r="J55" s="36"/>
      <c r="Q55" s="48"/>
      <c r="W55" s="30"/>
      <c r="X55" s="90"/>
      <c r="Y55" s="90"/>
      <c r="Z55" s="91"/>
      <c r="AA55" s="91"/>
      <c r="AB55" s="91"/>
      <c r="AC55" s="91"/>
      <c r="AD55" s="91"/>
      <c r="AE55" s="36"/>
      <c r="AL55" s="48"/>
    </row>
    <row r="56" spans="2:42" ht="15" x14ac:dyDescent="0.25">
      <c r="B56" s="30"/>
      <c r="C56" s="145" t="e">
        <f>"Your weekly childcare costs will be £"&amp;TEXT(U56,"0.00")&amp;"*"</f>
        <v>#REF!</v>
      </c>
      <c r="D56" s="145"/>
      <c r="E56" s="145"/>
      <c r="F56" s="145"/>
      <c r="G56" s="145"/>
      <c r="H56" s="145"/>
      <c r="I56" s="145"/>
      <c r="J56" s="72"/>
      <c r="K56" s="9"/>
      <c r="M56" s="103"/>
      <c r="N56" s="22" t="s">
        <v>93</v>
      </c>
      <c r="T56" s="6" t="s">
        <v>12</v>
      </c>
      <c r="U56" s="61" t="e">
        <f>ROUND(Q53-(U44*U43),2)</f>
        <v>#REF!</v>
      </c>
      <c r="W56" s="30"/>
      <c r="X56" s="145" t="e">
        <f>"Your weekly childcare costs will be £"&amp;TEXT(AP56,"0.00")&amp;"*"</f>
        <v>#REF!</v>
      </c>
      <c r="Y56" s="145"/>
      <c r="Z56" s="145"/>
      <c r="AA56" s="145"/>
      <c r="AB56" s="145"/>
      <c r="AC56" s="145"/>
      <c r="AD56" s="145"/>
      <c r="AE56" s="72"/>
      <c r="AF56" s="9"/>
      <c r="AH56" s="103"/>
      <c r="AI56" s="22" t="s">
        <v>93</v>
      </c>
      <c r="AO56" s="6" t="s">
        <v>12</v>
      </c>
      <c r="AP56" s="61" t="e">
        <f>ROUND(AL53-(AP44*AP43),2)</f>
        <v>#REF!</v>
      </c>
    </row>
    <row r="57" spans="2:42" ht="15" x14ac:dyDescent="0.25">
      <c r="B57" s="30"/>
      <c r="C57" s="146" t="e">
        <f>"Your average monthly childcare costs will be £"&amp;TEXT(U53,"0.00")&amp;"*"</f>
        <v>#REF!</v>
      </c>
      <c r="D57" s="146"/>
      <c r="E57" s="146"/>
      <c r="F57" s="146"/>
      <c r="G57" s="146"/>
      <c r="H57" s="146"/>
      <c r="I57" s="146"/>
      <c r="J57" s="73"/>
      <c r="K57" s="9"/>
      <c r="P57" s="9"/>
      <c r="W57" s="30"/>
      <c r="X57" s="146" t="e">
        <f>"Your average monthly childcare costs will be £"&amp;TEXT(AP53,"0.00")&amp;"*"</f>
        <v>#REF!</v>
      </c>
      <c r="Y57" s="146"/>
      <c r="Z57" s="146"/>
      <c r="AA57" s="146"/>
      <c r="AB57" s="146"/>
      <c r="AC57" s="146"/>
      <c r="AD57" s="146"/>
      <c r="AE57" s="73"/>
      <c r="AF57" s="9"/>
      <c r="AK57" s="9"/>
    </row>
    <row r="58" spans="2:42" ht="7.5" customHeight="1" x14ac:dyDescent="0.2">
      <c r="B58" s="30"/>
      <c r="C58" s="91"/>
      <c r="D58" s="91"/>
      <c r="E58" s="91"/>
      <c r="F58" s="91"/>
      <c r="G58" s="91"/>
      <c r="H58" s="91"/>
      <c r="I58" s="91"/>
      <c r="J58" s="36"/>
      <c r="K58" s="9"/>
      <c r="P58" s="9"/>
      <c r="W58" s="30"/>
      <c r="X58" s="91"/>
      <c r="Y58" s="91"/>
      <c r="Z58" s="91"/>
      <c r="AA58" s="91"/>
      <c r="AB58" s="91"/>
      <c r="AC58" s="91"/>
      <c r="AD58" s="91"/>
      <c r="AE58" s="36"/>
      <c r="AF58" s="9"/>
      <c r="AK58" s="9"/>
    </row>
    <row r="59" spans="2:42" ht="15" x14ac:dyDescent="0.25">
      <c r="B59" s="30"/>
      <c r="C59" s="146" t="str">
        <f>IF(E36=M10,M36,M34)</f>
        <v>You are not claiming any funding</v>
      </c>
      <c r="D59" s="146"/>
      <c r="E59" s="146"/>
      <c r="F59" s="146"/>
      <c r="G59" s="146"/>
      <c r="H59" s="146"/>
      <c r="I59" s="146"/>
      <c r="J59" s="73"/>
      <c r="P59" s="9"/>
      <c r="W59" s="30"/>
      <c r="X59" s="146" t="e">
        <f>IF(Z36=AH10,AH36,AH34)</f>
        <v>#REF!</v>
      </c>
      <c r="Y59" s="146"/>
      <c r="Z59" s="146"/>
      <c r="AA59" s="146"/>
      <c r="AB59" s="146"/>
      <c r="AC59" s="146"/>
      <c r="AD59" s="146"/>
      <c r="AE59" s="73"/>
      <c r="AK59" s="9"/>
    </row>
    <row r="60" spans="2:42" ht="7.5" customHeight="1" x14ac:dyDescent="0.25">
      <c r="B60" s="30"/>
      <c r="C60" s="92"/>
      <c r="D60" s="92"/>
      <c r="E60" s="92"/>
      <c r="F60" s="92"/>
      <c r="G60" s="92"/>
      <c r="H60" s="92"/>
      <c r="I60" s="92"/>
      <c r="J60" s="73"/>
      <c r="P60" s="9"/>
      <c r="W60" s="30"/>
      <c r="X60" s="92"/>
      <c r="Y60" s="92"/>
      <c r="Z60" s="92"/>
      <c r="AA60" s="92"/>
      <c r="AB60" s="92"/>
      <c r="AC60" s="92"/>
      <c r="AD60" s="92"/>
      <c r="AE60" s="73"/>
      <c r="AK60" s="9"/>
    </row>
    <row r="61" spans="2:42" ht="22.5" customHeight="1" x14ac:dyDescent="0.2">
      <c r="B61" s="30"/>
      <c r="C61" s="5"/>
      <c r="D61" s="5"/>
      <c r="J61" s="36"/>
      <c r="P61" s="9"/>
      <c r="W61" s="30"/>
      <c r="X61" s="5"/>
      <c r="Y61" s="5"/>
      <c r="AE61" s="36"/>
      <c r="AK61" s="9"/>
    </row>
    <row r="62" spans="2:42" ht="12.75" customHeight="1" x14ac:dyDescent="0.2">
      <c r="B62" s="30"/>
      <c r="C62" s="148" t="s">
        <v>80</v>
      </c>
      <c r="D62" s="148"/>
      <c r="E62" s="148"/>
      <c r="F62" s="148"/>
      <c r="G62" s="148"/>
      <c r="H62" s="148"/>
      <c r="I62" s="148"/>
      <c r="J62" s="41"/>
      <c r="P62" s="9"/>
      <c r="W62" s="30"/>
      <c r="X62" s="148" t="s">
        <v>80</v>
      </c>
      <c r="Y62" s="148"/>
      <c r="Z62" s="148"/>
      <c r="AA62" s="148"/>
      <c r="AB62" s="148"/>
      <c r="AC62" s="148"/>
      <c r="AD62" s="148"/>
      <c r="AE62" s="41"/>
      <c r="AK62" s="9"/>
    </row>
    <row r="63" spans="2:42" ht="6" customHeight="1" x14ac:dyDescent="0.2">
      <c r="B63" s="30"/>
      <c r="C63" s="74"/>
      <c r="D63" s="74"/>
      <c r="E63" s="74"/>
      <c r="F63" s="74"/>
      <c r="G63" s="74"/>
      <c r="H63" s="74"/>
      <c r="I63" s="74"/>
      <c r="J63" s="41"/>
      <c r="P63" s="9"/>
      <c r="W63" s="30"/>
      <c r="X63" s="74"/>
      <c r="Y63" s="74"/>
      <c r="Z63" s="74"/>
      <c r="AA63" s="74"/>
      <c r="AB63" s="74"/>
      <c r="AC63" s="74"/>
      <c r="AD63" s="74"/>
      <c r="AE63" s="41"/>
      <c r="AK63" s="9"/>
    </row>
    <row r="64" spans="2:42" ht="14.25" customHeight="1" x14ac:dyDescent="0.2">
      <c r="B64" s="75" t="s">
        <v>81</v>
      </c>
      <c r="C64" s="142" t="s">
        <v>82</v>
      </c>
      <c r="D64" s="142"/>
      <c r="E64" s="142"/>
      <c r="F64" s="142"/>
      <c r="G64" s="142"/>
      <c r="H64" s="142"/>
      <c r="I64" s="142"/>
      <c r="J64" s="76"/>
      <c r="P64" s="9"/>
      <c r="W64" s="75" t="s">
        <v>81</v>
      </c>
      <c r="X64" s="142" t="s">
        <v>82</v>
      </c>
      <c r="Y64" s="142"/>
      <c r="Z64" s="142"/>
      <c r="AA64" s="142"/>
      <c r="AB64" s="142"/>
      <c r="AC64" s="142"/>
      <c r="AD64" s="142"/>
      <c r="AE64" s="76"/>
      <c r="AK64" s="9"/>
    </row>
    <row r="65" spans="2:42" ht="14.25" customHeight="1" x14ac:dyDescent="0.2">
      <c r="B65" s="30"/>
      <c r="C65" s="142"/>
      <c r="D65" s="142"/>
      <c r="E65" s="142"/>
      <c r="F65" s="142"/>
      <c r="G65" s="142"/>
      <c r="H65" s="142"/>
      <c r="I65" s="142"/>
      <c r="J65" s="76"/>
      <c r="P65" s="9"/>
      <c r="T65" s="22"/>
      <c r="U65" s="22"/>
      <c r="W65" s="30"/>
      <c r="X65" s="142"/>
      <c r="Y65" s="142"/>
      <c r="Z65" s="142"/>
      <c r="AA65" s="142"/>
      <c r="AB65" s="142"/>
      <c r="AC65" s="142"/>
      <c r="AD65" s="142"/>
      <c r="AE65" s="76"/>
      <c r="AK65" s="9"/>
      <c r="AO65" s="22"/>
      <c r="AP65" s="22"/>
    </row>
    <row r="66" spans="2:42" s="22" customFormat="1" ht="15.75" customHeight="1" x14ac:dyDescent="0.2">
      <c r="B66" s="75" t="s">
        <v>81</v>
      </c>
      <c r="C66" s="142" t="s">
        <v>83</v>
      </c>
      <c r="D66" s="142"/>
      <c r="E66" s="142"/>
      <c r="F66" s="142"/>
      <c r="G66" s="142"/>
      <c r="H66" s="142"/>
      <c r="I66" s="142"/>
      <c r="J66" s="76"/>
      <c r="T66" s="5"/>
      <c r="U66" s="5"/>
      <c r="W66" s="75" t="s">
        <v>81</v>
      </c>
      <c r="X66" s="142" t="s">
        <v>83</v>
      </c>
      <c r="Y66" s="142"/>
      <c r="Z66" s="142"/>
      <c r="AA66" s="142"/>
      <c r="AB66" s="142"/>
      <c r="AC66" s="142"/>
      <c r="AD66" s="142"/>
      <c r="AE66" s="76"/>
      <c r="AO66" s="5"/>
      <c r="AP66" s="5"/>
    </row>
    <row r="67" spans="2:42" ht="14.25" customHeight="1" x14ac:dyDescent="0.2">
      <c r="B67" s="75" t="s">
        <v>81</v>
      </c>
      <c r="C67" s="142" t="s">
        <v>84</v>
      </c>
      <c r="D67" s="142"/>
      <c r="E67" s="142"/>
      <c r="F67" s="142"/>
      <c r="G67" s="142"/>
      <c r="H67" s="142"/>
      <c r="I67" s="142"/>
      <c r="J67" s="76"/>
      <c r="P67" s="9"/>
      <c r="W67" s="75" t="s">
        <v>81</v>
      </c>
      <c r="X67" s="142" t="s">
        <v>84</v>
      </c>
      <c r="Y67" s="142"/>
      <c r="Z67" s="142"/>
      <c r="AA67" s="142"/>
      <c r="AB67" s="142"/>
      <c r="AC67" s="142"/>
      <c r="AD67" s="142"/>
      <c r="AE67" s="76"/>
      <c r="AK67" s="9"/>
    </row>
    <row r="68" spans="2:42" ht="14.25" customHeight="1" x14ac:dyDescent="0.2">
      <c r="B68" s="75"/>
      <c r="C68" s="142"/>
      <c r="D68" s="142"/>
      <c r="E68" s="142"/>
      <c r="F68" s="142"/>
      <c r="G68" s="142"/>
      <c r="H68" s="142"/>
      <c r="I68" s="142"/>
      <c r="J68" s="76"/>
      <c r="P68" s="9"/>
      <c r="W68" s="75"/>
      <c r="X68" s="142"/>
      <c r="Y68" s="142"/>
      <c r="Z68" s="142"/>
      <c r="AA68" s="142"/>
      <c r="AB68" s="142"/>
      <c r="AC68" s="142"/>
      <c r="AD68" s="142"/>
      <c r="AE68" s="76"/>
      <c r="AK68" s="9"/>
    </row>
    <row r="69" spans="2:42" ht="41.25" customHeight="1" x14ac:dyDescent="0.2">
      <c r="B69" s="75" t="s">
        <v>81</v>
      </c>
      <c r="C69" s="142" t="str">
        <f>IF(E34=M23,Q26,Q25)</f>
        <v>Fees are not payable when the nursery is closed for Bank Holidays and between Christmas and New Year, resulting in a lower than average monthly invoice.</v>
      </c>
      <c r="D69" s="142"/>
      <c r="E69" s="142"/>
      <c r="F69" s="142"/>
      <c r="G69" s="142"/>
      <c r="H69" s="142"/>
      <c r="I69" s="142"/>
      <c r="J69" s="77"/>
      <c r="P69" s="9"/>
      <c r="R69" s="6"/>
      <c r="W69" s="75" t="s">
        <v>81</v>
      </c>
      <c r="X69" s="142" t="str">
        <f>IF(Z34=AH23,AL26,AL25)</f>
        <v>Fees are not payable when the nursery is closed for Bank Holidays and between Christmas and New Year, resulting in a lower than average monthly invoice.</v>
      </c>
      <c r="Y69" s="142"/>
      <c r="Z69" s="142"/>
      <c r="AA69" s="142"/>
      <c r="AB69" s="142"/>
      <c r="AC69" s="142"/>
      <c r="AD69" s="142"/>
      <c r="AE69" s="77"/>
      <c r="AK69" s="9"/>
      <c r="AM69" s="6"/>
    </row>
    <row r="70" spans="2:42" ht="28.5" customHeight="1" x14ac:dyDescent="0.2">
      <c r="B70" s="75" t="s">
        <v>81</v>
      </c>
      <c r="C70" s="142" t="e">
        <f>IF(E34=M23,Q28,Q27)</f>
        <v>#REF!</v>
      </c>
      <c r="D70" s="142"/>
      <c r="E70" s="142"/>
      <c r="F70" s="142"/>
      <c r="G70" s="142"/>
      <c r="H70" s="142"/>
      <c r="I70" s="142"/>
      <c r="J70" s="77"/>
      <c r="Q70" s="6"/>
      <c r="W70" s="75" t="s">
        <v>81</v>
      </c>
      <c r="X70" s="142" t="e">
        <f>IF(Z34=AH23,AL28,AL27)</f>
        <v>#REF!</v>
      </c>
      <c r="Y70" s="142"/>
      <c r="Z70" s="142"/>
      <c r="AA70" s="142"/>
      <c r="AB70" s="142"/>
      <c r="AC70" s="142"/>
      <c r="AD70" s="142"/>
      <c r="AE70" s="77"/>
      <c r="AL70" s="6"/>
    </row>
    <row r="71" spans="2:42" ht="13.5" thickBot="1" x14ac:dyDescent="0.25">
      <c r="B71" s="78"/>
      <c r="C71" s="147"/>
      <c r="D71" s="147"/>
      <c r="E71" s="147"/>
      <c r="F71" s="147"/>
      <c r="G71" s="147"/>
      <c r="H71" s="147"/>
      <c r="I71" s="147"/>
      <c r="J71" s="79"/>
      <c r="W71" s="78"/>
      <c r="X71" s="147"/>
      <c r="Y71" s="147"/>
      <c r="Z71" s="147"/>
      <c r="AA71" s="147"/>
      <c r="AB71" s="147"/>
      <c r="AC71" s="147"/>
      <c r="AD71" s="147"/>
      <c r="AE71" s="79"/>
    </row>
  </sheetData>
  <sheetProtection selectLockedCells="1"/>
  <mergeCells count="50">
    <mergeCell ref="X71:AD71"/>
    <mergeCell ref="X62:AD62"/>
    <mergeCell ref="X64:AD65"/>
    <mergeCell ref="X66:AD66"/>
    <mergeCell ref="X67:AD68"/>
    <mergeCell ref="X69:AD69"/>
    <mergeCell ref="AB31:AE33"/>
    <mergeCell ref="Z32:AA32"/>
    <mergeCell ref="Z34:AA34"/>
    <mergeCell ref="AB34:AD34"/>
    <mergeCell ref="Z36:AA36"/>
    <mergeCell ref="AB36:AD36"/>
    <mergeCell ref="W2:AE2"/>
    <mergeCell ref="W4:AE4"/>
    <mergeCell ref="X6:AD6"/>
    <mergeCell ref="Z8:AA8"/>
    <mergeCell ref="Z22:AD22"/>
    <mergeCell ref="G31:J33"/>
    <mergeCell ref="E32:F32"/>
    <mergeCell ref="E34:F34"/>
    <mergeCell ref="G34:I34"/>
    <mergeCell ref="E36:F36"/>
    <mergeCell ref="G36:I36"/>
    <mergeCell ref="B2:J2"/>
    <mergeCell ref="B4:J4"/>
    <mergeCell ref="C6:I6"/>
    <mergeCell ref="E8:F8"/>
    <mergeCell ref="E22:I22"/>
    <mergeCell ref="C71:I71"/>
    <mergeCell ref="C56:I56"/>
    <mergeCell ref="C57:I57"/>
    <mergeCell ref="C59:I59"/>
    <mergeCell ref="C62:I62"/>
    <mergeCell ref="C64:I65"/>
    <mergeCell ref="C66:I66"/>
    <mergeCell ref="AB37:AD39"/>
    <mergeCell ref="Z38:AA38"/>
    <mergeCell ref="C67:I68"/>
    <mergeCell ref="C69:I69"/>
    <mergeCell ref="C70:I70"/>
    <mergeCell ref="C53:I53"/>
    <mergeCell ref="C40:I40"/>
    <mergeCell ref="E38:F38"/>
    <mergeCell ref="G37:I39"/>
    <mergeCell ref="X40:AD40"/>
    <mergeCell ref="X53:AD53"/>
    <mergeCell ref="X56:AD56"/>
    <mergeCell ref="X57:AD57"/>
    <mergeCell ref="X59:AD59"/>
    <mergeCell ref="X70:AD70"/>
  </mergeCells>
  <conditionalFormatting sqref="C53:I53">
    <cfRule type="expression" dxfId="64" priority="31">
      <formula>$C$53=$M$28</formula>
    </cfRule>
    <cfRule type="expression" dxfId="63" priority="32">
      <formula>OR($C$53=$M$26,$C$53=$M$27,$C$53=$M$29)</formula>
    </cfRule>
  </conditionalFormatting>
  <conditionalFormatting sqref="E23:I26">
    <cfRule type="cellIs" dxfId="62" priority="24" operator="greaterThan">
      <formula>1</formula>
    </cfRule>
  </conditionalFormatting>
  <conditionalFormatting sqref="E42:I43">
    <cfRule type="expression" dxfId="61" priority="26">
      <formula>AND(E$27="Y",NOT(E42=""))</formula>
    </cfRule>
    <cfRule type="expression" dxfId="60" priority="27">
      <formula>COUNTA(E$42:E$43)&gt;1</formula>
    </cfRule>
  </conditionalFormatting>
  <conditionalFormatting sqref="E44:I47">
    <cfRule type="expression" dxfId="59" priority="23">
      <formula>AND(COUNTA(E$44:E$47)&gt;1,NOT(E44=""))</formula>
    </cfRule>
  </conditionalFormatting>
  <conditionalFormatting sqref="E47:I47">
    <cfRule type="expression" dxfId="58" priority="22" stopIfTrue="1">
      <formula>COUNTA(E$44:E$45)&gt;1</formula>
    </cfRule>
  </conditionalFormatting>
  <conditionalFormatting sqref="E48:I49">
    <cfRule type="expression" dxfId="57" priority="28">
      <formula>AND(E$28="Y",NOT(E48=""))</formula>
    </cfRule>
    <cfRule type="expression" dxfId="56" priority="29">
      <formula>COUNTA(E$48:E$49)&gt;1</formula>
    </cfRule>
  </conditionalFormatting>
  <conditionalFormatting sqref="E49:I49 E42:I42 Z49:AD49">
    <cfRule type="expression" dxfId="55" priority="30">
      <formula>OR($E$32=$M$16,$E$32=$M$17)</formula>
    </cfRule>
  </conditionalFormatting>
  <conditionalFormatting sqref="E51:I51">
    <cfRule type="expression" dxfId="54" priority="19">
      <formula>E$29="Y"</formula>
    </cfRule>
  </conditionalFormatting>
  <conditionalFormatting sqref="G34:I34">
    <cfRule type="expression" dxfId="53" priority="25">
      <formula>AND(E$32=M$17,E$34=M$23)</formula>
    </cfRule>
  </conditionalFormatting>
  <conditionalFormatting sqref="G36:I36">
    <cfRule type="expression" dxfId="52" priority="33">
      <formula>AND($E$36=$M$12,#REF!=$H$9)</formula>
    </cfRule>
  </conditionalFormatting>
  <conditionalFormatting sqref="G31:J33">
    <cfRule type="expression" dxfId="51" priority="18">
      <formula>$E$32=$M$15</formula>
    </cfRule>
  </conditionalFormatting>
  <conditionalFormatting sqref="X53:AD53">
    <cfRule type="expression" dxfId="50" priority="15">
      <formula>$C$53=$M$28</formula>
    </cfRule>
    <cfRule type="expression" dxfId="49" priority="16">
      <formula>OR($C$53=$M$26,$C$53=$M$27,$C$53=$M$29)</formula>
    </cfRule>
  </conditionalFormatting>
  <conditionalFormatting sqref="Z23:AD26">
    <cfRule type="cellIs" dxfId="48" priority="8" operator="greaterThan">
      <formula>1</formula>
    </cfRule>
  </conditionalFormatting>
  <conditionalFormatting sqref="Z42:AD42">
    <cfRule type="expression" dxfId="47" priority="14">
      <formula>OR($E$32=$M$16,$E$32=$M$17)</formula>
    </cfRule>
  </conditionalFormatting>
  <conditionalFormatting sqref="Z42:AD43">
    <cfRule type="expression" dxfId="46" priority="10">
      <formula>AND(Z$27="Y",NOT(Z42=""))</formula>
    </cfRule>
    <cfRule type="expression" dxfId="45" priority="11">
      <formula>COUNTA(Z$42:Z$43)&gt;1</formula>
    </cfRule>
  </conditionalFormatting>
  <conditionalFormatting sqref="Z44:AD44">
    <cfRule type="expression" dxfId="44" priority="5">
      <formula>Z$27="Y"</formula>
    </cfRule>
  </conditionalFormatting>
  <conditionalFormatting sqref="Z44:AD47">
    <cfRule type="expression" dxfId="43" priority="7">
      <formula>AND(COUNTA(Z$44:Z$47)&gt;1,NOT(Z44=""))</formula>
    </cfRule>
  </conditionalFormatting>
  <conditionalFormatting sqref="Z45:AD45">
    <cfRule type="expression" dxfId="42" priority="4">
      <formula>Z$28="Y"</formula>
    </cfRule>
  </conditionalFormatting>
  <conditionalFormatting sqref="Z46:AD47 E44:I44 E46:I47">
    <cfRule type="expression" dxfId="41" priority="21">
      <formula>E$27="Y"</formula>
    </cfRule>
  </conditionalFormatting>
  <conditionalFormatting sqref="Z47:AD47 E45:I45 E47:I47">
    <cfRule type="expression" dxfId="40" priority="20">
      <formula>E$28="Y"</formula>
    </cfRule>
  </conditionalFormatting>
  <conditionalFormatting sqref="Z47:AD47">
    <cfRule type="expression" dxfId="39" priority="6" stopIfTrue="1">
      <formula>COUNTA(Z$44:Z$45)&gt;1</formula>
    </cfRule>
  </conditionalFormatting>
  <conditionalFormatting sqref="Z48:AD49">
    <cfRule type="expression" dxfId="38" priority="12">
      <formula>AND(Z$28="Y",NOT(Z48=""))</formula>
    </cfRule>
    <cfRule type="expression" dxfId="37" priority="13">
      <formula>COUNTA(Z$48:Z$49)&gt;1</formula>
    </cfRule>
  </conditionalFormatting>
  <conditionalFormatting sqref="Z51:AD51">
    <cfRule type="expression" dxfId="36" priority="3">
      <formula>Z$29="Y"</formula>
    </cfRule>
  </conditionalFormatting>
  <conditionalFormatting sqref="AB34:AD34">
    <cfRule type="expression" dxfId="35" priority="1">
      <formula>AND(Z$32=AH$17,Z$34=AH$23)</formula>
    </cfRule>
  </conditionalFormatting>
  <conditionalFormatting sqref="AB31:AE33">
    <cfRule type="expression" dxfId="34" priority="2">
      <formula>$E$32=$M$15</formula>
    </cfRule>
  </conditionalFormatting>
  <dataValidations count="6">
    <dataValidation type="list" allowBlank="1" showInputMessage="1" showErrorMessage="1" sqref="E35 Z35" xr:uid="{E4F5B398-88F9-4132-8C6A-91DA425ADB74}">
      <formula1>$H$9:$I$9</formula1>
    </dataValidation>
    <dataValidation type="list" allowBlank="1" showInputMessage="1" showErrorMessage="1" sqref="E32:F32" xr:uid="{6053A62B-A0CE-45B0-9DBA-2C0326307B5A}">
      <formula1>$M$15:$M$17</formula1>
    </dataValidation>
    <dataValidation type="list" allowBlank="1" showInputMessage="1" showErrorMessage="1" sqref="E33:F33 Z33:AA33" xr:uid="{6F59D611-367D-4EFD-84B6-8A91C4835465}">
      <formula1>$M$16:$M$17</formula1>
    </dataValidation>
    <dataValidation type="list" allowBlank="1" showInputMessage="1" showErrorMessage="1" sqref="E34:F34 Z34:AA34" xr:uid="{FC287955-DB9B-49EC-ABA1-93E6711E5EEE}">
      <formula1>$M$22:$M$23</formula1>
    </dataValidation>
    <dataValidation type="list" allowBlank="1" showInputMessage="1" showErrorMessage="1" sqref="E36:F36 Z36:AA36" xr:uid="{20E944C2-FBC8-4220-A781-7378321705CC}">
      <formula1>$M$10:$M$13</formula1>
    </dataValidation>
    <dataValidation type="list" allowBlank="1" showInputMessage="1" showErrorMessage="1" sqref="E38:F38 Z38:AA38" xr:uid="{A92D4DDB-6789-4BBB-9340-8FCECE9C6065}">
      <formula1>$M$19:$M$20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2E439-009F-4249-ADC5-0EC6C9F3EA5D}">
  <sheetPr>
    <tabColor theme="6"/>
    <pageSetUpPr fitToPage="1"/>
  </sheetPr>
  <dimension ref="A1:AV93"/>
  <sheetViews>
    <sheetView showGridLines="0" tabSelected="1" workbookViewId="0">
      <selection activeCell="E33" sqref="E33:F33"/>
    </sheetView>
  </sheetViews>
  <sheetFormatPr defaultRowHeight="12.75" x14ac:dyDescent="0.2"/>
  <cols>
    <col min="1" max="2" width="3.140625" style="5" customWidth="1"/>
    <col min="3" max="3" width="13.85546875" style="6" customWidth="1"/>
    <col min="4" max="4" width="2.85546875" style="6" customWidth="1"/>
    <col min="5" max="9" width="8.5703125" style="5" customWidth="1"/>
    <col min="10" max="10" width="3.140625" style="5" customWidth="1"/>
    <col min="11" max="11" width="2.28515625" style="5" bestFit="1" customWidth="1"/>
    <col min="12" max="12" width="10" style="9" hidden="1" customWidth="1"/>
    <col min="13" max="13" width="17.140625" style="9" hidden="1" customWidth="1"/>
    <col min="14" max="15" width="10" style="9" hidden="1" customWidth="1"/>
    <col min="16" max="16" width="10" style="5" hidden="1" customWidth="1"/>
    <col min="17" max="17" width="11.28515625" style="5" hidden="1" customWidth="1"/>
    <col min="18" max="22" width="10" style="5" hidden="1" customWidth="1"/>
    <col min="23" max="23" width="58.28515625" style="5" hidden="1" customWidth="1"/>
    <col min="24" max="24" width="11" style="5" hidden="1" customWidth="1"/>
    <col min="25" max="25" width="1.5703125" style="5" customWidth="1"/>
    <col min="26" max="26" width="3.140625" style="5" customWidth="1"/>
    <col min="27" max="27" width="13.85546875" style="6" customWidth="1"/>
    <col min="28" max="28" width="2.85546875" style="6" customWidth="1"/>
    <col min="29" max="33" width="8.5703125" style="5" customWidth="1"/>
    <col min="34" max="34" width="3.140625" style="5" customWidth="1"/>
    <col min="35" max="35" width="2.28515625" style="5" bestFit="1" customWidth="1"/>
    <col min="36" max="36" width="10" style="9" hidden="1" customWidth="1"/>
    <col min="37" max="37" width="17.140625" style="9" hidden="1" customWidth="1"/>
    <col min="38" max="39" width="10" style="9" hidden="1" customWidth="1"/>
    <col min="40" max="40" width="10" style="5" hidden="1" customWidth="1"/>
    <col min="41" max="41" width="11.28515625" style="5" hidden="1" customWidth="1"/>
    <col min="42" max="46" width="10" style="5" hidden="1" customWidth="1"/>
    <col min="47" max="47" width="21.85546875" style="5" hidden="1" customWidth="1"/>
    <col min="48" max="48" width="11" style="5" hidden="1" customWidth="1"/>
    <col min="49" max="16384" width="9.140625" style="5"/>
  </cols>
  <sheetData>
    <row r="1" spans="1:48" x14ac:dyDescent="0.2"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AJ1" s="7"/>
      <c r="AK1" s="7"/>
      <c r="AL1" s="7"/>
      <c r="AM1" s="7"/>
      <c r="AN1" s="8"/>
      <c r="AO1" s="8"/>
      <c r="AP1" s="8"/>
      <c r="AQ1" s="8"/>
      <c r="AR1" s="8"/>
      <c r="AS1" s="8"/>
      <c r="AT1" s="8"/>
      <c r="AU1" s="8"/>
      <c r="AV1" s="8"/>
    </row>
    <row r="2" spans="1:48" ht="15.75" x14ac:dyDescent="0.25">
      <c r="B2" s="149" t="str">
        <f>"Fee &amp; Funding Calculator "&amp;YEAR(E8)</f>
        <v>Fee &amp; Funding Calculator 2024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</row>
    <row r="3" spans="1:48" ht="7.5" customHeight="1" x14ac:dyDescent="0.25">
      <c r="B3" s="10"/>
      <c r="C3" s="10"/>
      <c r="D3" s="10"/>
      <c r="E3" s="10"/>
      <c r="F3" s="10"/>
      <c r="G3" s="10"/>
      <c r="H3" s="10"/>
      <c r="I3" s="10"/>
      <c r="J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48" ht="66.75" customHeight="1" x14ac:dyDescent="0.2">
      <c r="B4" s="139" t="s">
        <v>141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</row>
    <row r="5" spans="1:48" ht="13.5" thickBot="1" x14ac:dyDescent="0.25"/>
    <row r="6" spans="1:48" ht="15.75" hidden="1" x14ac:dyDescent="0.25">
      <c r="A6" s="8"/>
      <c r="C6" s="151" t="s">
        <v>21</v>
      </c>
      <c r="D6" s="151"/>
      <c r="E6" s="151"/>
      <c r="F6" s="151"/>
      <c r="G6" s="151"/>
      <c r="H6" s="151"/>
      <c r="I6" s="151"/>
      <c r="J6" s="10"/>
      <c r="K6" s="10"/>
      <c r="AA6" s="151" t="s">
        <v>21</v>
      </c>
      <c r="AB6" s="151"/>
      <c r="AC6" s="151"/>
      <c r="AD6" s="151"/>
      <c r="AE6" s="151"/>
      <c r="AF6" s="151"/>
      <c r="AG6" s="151"/>
      <c r="AH6" s="10"/>
      <c r="AI6" s="10"/>
    </row>
    <row r="7" spans="1:48" ht="16.5" hidden="1" thickBot="1" x14ac:dyDescent="0.3">
      <c r="A7" s="8"/>
      <c r="C7" s="10"/>
      <c r="D7" s="10"/>
      <c r="E7" s="10"/>
      <c r="F7" s="10"/>
      <c r="G7" s="10"/>
      <c r="H7" s="10"/>
      <c r="I7" s="10"/>
      <c r="J7" s="10"/>
      <c r="K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48" ht="16.5" hidden="1" thickBot="1" x14ac:dyDescent="0.3">
      <c r="A8" s="8"/>
      <c r="C8" s="1" t="s">
        <v>14</v>
      </c>
      <c r="D8" s="10"/>
      <c r="E8" s="164">
        <v>45383</v>
      </c>
      <c r="F8" s="165"/>
      <c r="G8" s="2"/>
      <c r="J8" s="10"/>
      <c r="K8" s="10"/>
      <c r="AA8" s="1" t="s">
        <v>14</v>
      </c>
      <c r="AB8" s="10"/>
      <c r="AC8" s="190">
        <f>E8</f>
        <v>45383</v>
      </c>
      <c r="AD8" s="191"/>
      <c r="AE8" s="2"/>
      <c r="AH8" s="10"/>
      <c r="AI8" s="10"/>
    </row>
    <row r="9" spans="1:48" s="12" customFormat="1" ht="39" hidden="1" thickBot="1" x14ac:dyDescent="0.25">
      <c r="A9" s="11"/>
      <c r="C9" s="13" t="s">
        <v>15</v>
      </c>
      <c r="D9" s="13"/>
      <c r="E9" s="14" t="s">
        <v>10</v>
      </c>
      <c r="F9" s="14" t="s">
        <v>9</v>
      </c>
      <c r="G9" s="14" t="s">
        <v>3</v>
      </c>
      <c r="H9" s="14" t="s">
        <v>20</v>
      </c>
      <c r="I9" s="14" t="s">
        <v>22</v>
      </c>
      <c r="M9" s="12" t="s">
        <v>23</v>
      </c>
      <c r="N9" s="12" t="s">
        <v>13</v>
      </c>
      <c r="AA9" s="13" t="s">
        <v>15</v>
      </c>
      <c r="AB9" s="13"/>
      <c r="AC9" s="14" t="s">
        <v>10</v>
      </c>
      <c r="AD9" s="14" t="s">
        <v>9</v>
      </c>
      <c r="AE9" s="14" t="s">
        <v>3</v>
      </c>
      <c r="AF9" s="14" t="s">
        <v>20</v>
      </c>
      <c r="AG9" s="14" t="s">
        <v>22</v>
      </c>
      <c r="AK9" s="12" t="s">
        <v>23</v>
      </c>
      <c r="AL9" s="12" t="s">
        <v>13</v>
      </c>
    </row>
    <row r="10" spans="1:48" hidden="1" x14ac:dyDescent="0.2">
      <c r="A10" s="8"/>
      <c r="C10" s="6" t="s">
        <v>7</v>
      </c>
      <c r="E10" s="80">
        <v>0.29166666666666669</v>
      </c>
      <c r="F10" s="80">
        <v>0.34375</v>
      </c>
      <c r="G10" s="93">
        <f t="shared" ref="G10:G17" si="0">(F10-E10)*24</f>
        <v>1.2499999999999996</v>
      </c>
      <c r="H10" s="95"/>
      <c r="I10" s="9"/>
      <c r="J10" s="15"/>
      <c r="M10" s="98" t="s">
        <v>24</v>
      </c>
      <c r="N10" s="17">
        <v>0</v>
      </c>
      <c r="P10" s="18" t="s">
        <v>106</v>
      </c>
      <c r="AA10" s="6" t="s">
        <v>7</v>
      </c>
      <c r="AC10" s="80">
        <v>0.29166666666666669</v>
      </c>
      <c r="AD10" s="80">
        <v>0.34375</v>
      </c>
      <c r="AE10" s="93">
        <f t="shared" ref="AE10:AE17" si="1">(AD10-AC10)*24</f>
        <v>1.2499999999999996</v>
      </c>
      <c r="AF10" s="95"/>
      <c r="AG10" s="9"/>
      <c r="AH10" s="15"/>
      <c r="AK10" s="98" t="s">
        <v>24</v>
      </c>
      <c r="AL10" s="120">
        <v>0</v>
      </c>
      <c r="AN10" s="18" t="s">
        <v>106</v>
      </c>
    </row>
    <row r="11" spans="1:48" hidden="1" x14ac:dyDescent="0.2">
      <c r="A11" s="8"/>
      <c r="C11" s="19" t="s">
        <v>5</v>
      </c>
      <c r="D11" s="19"/>
      <c r="E11" s="81">
        <v>0.32291666666666669</v>
      </c>
      <c r="F11" s="81">
        <v>0.34375</v>
      </c>
      <c r="G11" s="94">
        <f t="shared" si="0"/>
        <v>0.49999999999999956</v>
      </c>
      <c r="H11" s="95"/>
      <c r="I11" s="20"/>
      <c r="J11" s="15"/>
      <c r="M11" s="98" t="s">
        <v>104</v>
      </c>
      <c r="N11" s="124">
        <v>8.52</v>
      </c>
      <c r="O11" s="122" t="s">
        <v>112</v>
      </c>
      <c r="P11" s="18" t="s">
        <v>107</v>
      </c>
      <c r="AA11" s="19" t="s">
        <v>5</v>
      </c>
      <c r="AB11" s="19"/>
      <c r="AC11" s="81">
        <v>0.32291666666666669</v>
      </c>
      <c r="AD11" s="81">
        <v>0.34375</v>
      </c>
      <c r="AE11" s="94">
        <f t="shared" si="1"/>
        <v>0.49999999999999956</v>
      </c>
      <c r="AF11" s="95"/>
      <c r="AG11" s="20"/>
      <c r="AH11" s="15"/>
      <c r="AK11" s="98" t="s">
        <v>104</v>
      </c>
      <c r="AL11" s="86">
        <f>N11</f>
        <v>8.52</v>
      </c>
      <c r="AM11" s="122" t="s">
        <v>112</v>
      </c>
      <c r="AN11" s="18" t="s">
        <v>107</v>
      </c>
    </row>
    <row r="12" spans="1:48" hidden="1" x14ac:dyDescent="0.2">
      <c r="A12" s="8"/>
      <c r="C12" s="6" t="s">
        <v>0</v>
      </c>
      <c r="E12" s="80">
        <v>0.34375</v>
      </c>
      <c r="F12" s="80">
        <v>0.54166666666666696</v>
      </c>
      <c r="G12" s="93">
        <f t="shared" si="0"/>
        <v>4.7500000000000071</v>
      </c>
      <c r="H12" s="96"/>
      <c r="I12" s="125">
        <v>4</v>
      </c>
      <c r="J12" s="15"/>
      <c r="M12" s="98" t="s">
        <v>105</v>
      </c>
      <c r="N12" s="120">
        <f>N11</f>
        <v>8.52</v>
      </c>
      <c r="O12" s="121" t="s">
        <v>111</v>
      </c>
      <c r="P12" s="18" t="s">
        <v>27</v>
      </c>
      <c r="AA12" s="6" t="s">
        <v>0</v>
      </c>
      <c r="AC12" s="80">
        <v>0.34375</v>
      </c>
      <c r="AD12" s="80">
        <v>0.54166666666666696</v>
      </c>
      <c r="AE12" s="93">
        <f t="shared" si="1"/>
        <v>4.7500000000000071</v>
      </c>
      <c r="AF12" s="96"/>
      <c r="AG12" s="192">
        <f>I12</f>
        <v>4</v>
      </c>
      <c r="AH12" s="15"/>
      <c r="AK12" s="98" t="s">
        <v>105</v>
      </c>
      <c r="AL12" s="120">
        <f>AL11</f>
        <v>8.52</v>
      </c>
      <c r="AM12" s="121" t="s">
        <v>111</v>
      </c>
      <c r="AN12" s="18" t="s">
        <v>27</v>
      </c>
    </row>
    <row r="13" spans="1:48" hidden="1" x14ac:dyDescent="0.2">
      <c r="A13" s="8"/>
      <c r="C13" s="6" t="s">
        <v>1</v>
      </c>
      <c r="E13" s="80">
        <v>0.54166666666666696</v>
      </c>
      <c r="F13" s="80">
        <v>0.72916666666666696</v>
      </c>
      <c r="G13" s="94">
        <f t="shared" si="0"/>
        <v>4.5</v>
      </c>
      <c r="H13" s="96"/>
      <c r="I13" s="125">
        <v>4</v>
      </c>
      <c r="J13" s="15"/>
      <c r="M13" s="98" t="s">
        <v>26</v>
      </c>
      <c r="N13" s="124">
        <v>8.52</v>
      </c>
      <c r="O13" s="122" t="s">
        <v>110</v>
      </c>
      <c r="P13" s="18" t="s">
        <v>29</v>
      </c>
      <c r="AA13" s="6" t="s">
        <v>1</v>
      </c>
      <c r="AC13" s="80">
        <v>0.54166666666666696</v>
      </c>
      <c r="AD13" s="80">
        <v>0.72916666666666696</v>
      </c>
      <c r="AE13" s="94">
        <f t="shared" si="1"/>
        <v>4.5</v>
      </c>
      <c r="AF13" s="96"/>
      <c r="AG13" s="192">
        <f t="shared" ref="AG13:AG15" si="2">I13</f>
        <v>4</v>
      </c>
      <c r="AH13" s="15"/>
      <c r="AK13" s="98" t="s">
        <v>26</v>
      </c>
      <c r="AL13" s="86">
        <f>N13</f>
        <v>8.52</v>
      </c>
      <c r="AM13" s="122" t="s">
        <v>110</v>
      </c>
      <c r="AN13" s="18" t="s">
        <v>29</v>
      </c>
    </row>
    <row r="14" spans="1:48" hidden="1" x14ac:dyDescent="0.2">
      <c r="A14" s="8"/>
      <c r="C14" s="6" t="s">
        <v>2</v>
      </c>
      <c r="E14" s="80">
        <v>0.34375</v>
      </c>
      <c r="F14" s="80">
        <v>0.66666666666666696</v>
      </c>
      <c r="G14" s="94">
        <f t="shared" si="0"/>
        <v>7.7500000000000071</v>
      </c>
      <c r="H14" s="96"/>
      <c r="I14" s="125">
        <v>7</v>
      </c>
      <c r="J14" s="15"/>
      <c r="M14" s="98" t="s">
        <v>103</v>
      </c>
      <c r="N14" s="120">
        <f>N13</f>
        <v>8.52</v>
      </c>
      <c r="O14" s="121" t="s">
        <v>111</v>
      </c>
      <c r="P14" s="18" t="s">
        <v>108</v>
      </c>
      <c r="AA14" s="6" t="s">
        <v>2</v>
      </c>
      <c r="AC14" s="80">
        <v>0.34375</v>
      </c>
      <c r="AD14" s="80">
        <v>0.66666666666666696</v>
      </c>
      <c r="AE14" s="94">
        <f t="shared" si="1"/>
        <v>7.7500000000000071</v>
      </c>
      <c r="AF14" s="96"/>
      <c r="AG14" s="192">
        <f t="shared" si="2"/>
        <v>7</v>
      </c>
      <c r="AH14" s="15"/>
      <c r="AK14" s="98" t="s">
        <v>103</v>
      </c>
      <c r="AL14" s="120">
        <f>AL13</f>
        <v>8.52</v>
      </c>
      <c r="AM14" s="121" t="s">
        <v>111</v>
      </c>
      <c r="AN14" s="18" t="s">
        <v>108</v>
      </c>
    </row>
    <row r="15" spans="1:48" hidden="1" x14ac:dyDescent="0.2">
      <c r="A15" s="8"/>
      <c r="C15" s="19" t="s">
        <v>4</v>
      </c>
      <c r="D15" s="19"/>
      <c r="E15" s="81">
        <v>0.34375</v>
      </c>
      <c r="F15" s="81">
        <v>0.72916666666666696</v>
      </c>
      <c r="G15" s="94">
        <f t="shared" si="0"/>
        <v>9.2500000000000071</v>
      </c>
      <c r="H15" s="96"/>
      <c r="I15" s="125">
        <v>8</v>
      </c>
      <c r="J15" s="15"/>
      <c r="M15" s="98" t="s">
        <v>28</v>
      </c>
      <c r="N15" s="124">
        <v>5.26</v>
      </c>
      <c r="P15" s="18" t="s">
        <v>109</v>
      </c>
      <c r="AA15" s="19" t="s">
        <v>4</v>
      </c>
      <c r="AB15" s="19"/>
      <c r="AC15" s="81">
        <v>0.34375</v>
      </c>
      <c r="AD15" s="81">
        <v>0.72916666666666696</v>
      </c>
      <c r="AE15" s="94">
        <f t="shared" si="1"/>
        <v>9.2500000000000071</v>
      </c>
      <c r="AF15" s="96"/>
      <c r="AG15" s="192">
        <f t="shared" si="2"/>
        <v>8</v>
      </c>
      <c r="AH15" s="15"/>
      <c r="AK15" s="98" t="s">
        <v>28</v>
      </c>
      <c r="AL15" s="86">
        <f>N15</f>
        <v>5.26</v>
      </c>
      <c r="AN15" s="18" t="s">
        <v>109</v>
      </c>
    </row>
    <row r="16" spans="1:48" hidden="1" x14ac:dyDescent="0.2">
      <c r="A16" s="8"/>
      <c r="C16" s="6" t="s">
        <v>6</v>
      </c>
      <c r="E16" s="80">
        <v>0.72916666666666696</v>
      </c>
      <c r="F16" s="80">
        <v>0.75</v>
      </c>
      <c r="G16" s="93">
        <f t="shared" si="0"/>
        <v>0.49999999999999289</v>
      </c>
      <c r="H16" s="96"/>
      <c r="J16" s="15"/>
      <c r="K16" s="9"/>
      <c r="M16" s="98" t="s">
        <v>30</v>
      </c>
      <c r="N16" s="17">
        <f>N15</f>
        <v>5.26</v>
      </c>
      <c r="P16" s="18" t="s">
        <v>91</v>
      </c>
      <c r="AA16" s="6" t="s">
        <v>6</v>
      </c>
      <c r="AC16" s="80">
        <v>0.72916666666666696</v>
      </c>
      <c r="AD16" s="80">
        <v>0.75</v>
      </c>
      <c r="AE16" s="93">
        <f t="shared" si="1"/>
        <v>0.49999999999999289</v>
      </c>
      <c r="AF16" s="96"/>
      <c r="AH16" s="15"/>
      <c r="AI16" s="9"/>
      <c r="AK16" s="98" t="s">
        <v>30</v>
      </c>
      <c r="AL16" s="120">
        <f>AL15</f>
        <v>5.26</v>
      </c>
      <c r="AN16" s="18" t="s">
        <v>91</v>
      </c>
    </row>
    <row r="17" spans="1:45" hidden="1" x14ac:dyDescent="0.2">
      <c r="A17" s="8"/>
      <c r="C17" s="19" t="s">
        <v>8</v>
      </c>
      <c r="D17" s="19"/>
      <c r="E17" s="81">
        <v>0.72916666666666696</v>
      </c>
      <c r="F17" s="81">
        <v>0.79166666666666696</v>
      </c>
      <c r="G17" s="94">
        <f t="shared" si="0"/>
        <v>1.5</v>
      </c>
      <c r="H17" s="82"/>
      <c r="I17" s="84"/>
      <c r="J17" s="15"/>
      <c r="K17" s="9"/>
      <c r="M17" s="21" t="s">
        <v>32</v>
      </c>
      <c r="N17" s="22"/>
      <c r="O17" s="21" t="s">
        <v>89</v>
      </c>
      <c r="P17" s="9"/>
      <c r="R17" s="21" t="s">
        <v>116</v>
      </c>
      <c r="AA17" s="19" t="s">
        <v>8</v>
      </c>
      <c r="AB17" s="19"/>
      <c r="AC17" s="81">
        <v>0.72916666666666696</v>
      </c>
      <c r="AD17" s="81">
        <v>0.79166666666666696</v>
      </c>
      <c r="AE17" s="94">
        <f t="shared" si="1"/>
        <v>1.5</v>
      </c>
      <c r="AF17" s="82"/>
      <c r="AG17" s="84"/>
      <c r="AH17" s="15"/>
      <c r="AI17" s="9"/>
      <c r="AK17" s="21" t="s">
        <v>32</v>
      </c>
      <c r="AL17" s="22"/>
      <c r="AM17" s="21" t="s">
        <v>89</v>
      </c>
      <c r="AN17" s="9"/>
      <c r="AP17" s="21" t="s">
        <v>116</v>
      </c>
    </row>
    <row r="18" spans="1:45" hidden="1" x14ac:dyDescent="0.2">
      <c r="A18" s="8"/>
      <c r="C18" s="6" t="s">
        <v>37</v>
      </c>
      <c r="H18" s="85">
        <f>IF(E39=O19,P19,P18)</f>
        <v>8.52</v>
      </c>
      <c r="K18" s="9"/>
      <c r="M18" s="98" t="s">
        <v>33</v>
      </c>
      <c r="O18" s="98" t="s">
        <v>90</v>
      </c>
      <c r="P18" s="138">
        <v>8.52</v>
      </c>
      <c r="R18" s="133"/>
      <c r="AA18" s="6" t="s">
        <v>37</v>
      </c>
      <c r="AF18" s="85">
        <f>IF(AC39=AM19,AN19,AN18)</f>
        <v>8.52</v>
      </c>
      <c r="AI18" s="9"/>
      <c r="AK18" s="98" t="s">
        <v>33</v>
      </c>
      <c r="AM18" s="98" t="s">
        <v>90</v>
      </c>
      <c r="AN18" s="194">
        <f>P18</f>
        <v>8.52</v>
      </c>
      <c r="AP18" s="133"/>
    </row>
    <row r="19" spans="1:45" hidden="1" x14ac:dyDescent="0.2">
      <c r="A19" s="8"/>
      <c r="C19" s="6" t="s">
        <v>11</v>
      </c>
      <c r="H19" s="124">
        <v>3.73</v>
      </c>
      <c r="K19" s="9"/>
      <c r="M19" s="98" t="s">
        <v>35</v>
      </c>
      <c r="O19" s="98" t="s">
        <v>19</v>
      </c>
      <c r="P19" s="17">
        <f>ROUND(P18*(1-H20),2)</f>
        <v>8.09</v>
      </c>
      <c r="R19" s="16" t="s">
        <v>117</v>
      </c>
      <c r="AA19" s="6" t="s">
        <v>11</v>
      </c>
      <c r="AF19" s="86">
        <f>H19</f>
        <v>3.73</v>
      </c>
      <c r="AI19" s="9"/>
      <c r="AK19" s="98" t="s">
        <v>35</v>
      </c>
      <c r="AM19" s="98" t="s">
        <v>19</v>
      </c>
      <c r="AN19" s="17">
        <f>ROUND(AN18*(1-AF20),2)</f>
        <v>8.09</v>
      </c>
      <c r="AP19" s="16" t="s">
        <v>117</v>
      </c>
    </row>
    <row r="20" spans="1:45" hidden="1" x14ac:dyDescent="0.2">
      <c r="A20" s="8"/>
      <c r="C20" s="6" t="s">
        <v>115</v>
      </c>
      <c r="H20" s="123">
        <v>0.05</v>
      </c>
      <c r="K20" s="9"/>
      <c r="M20" s="98" t="s">
        <v>36</v>
      </c>
      <c r="AA20" s="6" t="s">
        <v>115</v>
      </c>
      <c r="AF20" s="193">
        <f>H20</f>
        <v>0.05</v>
      </c>
      <c r="AI20" s="9"/>
      <c r="AK20" s="98" t="s">
        <v>36</v>
      </c>
    </row>
    <row r="21" spans="1:45" ht="38.25" hidden="1" x14ac:dyDescent="0.2">
      <c r="A21" s="8"/>
      <c r="F21" s="15"/>
      <c r="I21" s="15"/>
      <c r="K21" s="9"/>
      <c r="M21" s="21" t="s">
        <v>38</v>
      </c>
      <c r="N21" s="12" t="s">
        <v>39</v>
      </c>
      <c r="O21" s="12" t="s">
        <v>40</v>
      </c>
      <c r="P21" s="23" t="s">
        <v>17</v>
      </c>
      <c r="Q21" s="12" t="s">
        <v>41</v>
      </c>
      <c r="R21" s="12"/>
      <c r="AD21" s="15"/>
      <c r="AG21" s="15"/>
      <c r="AI21" s="9"/>
      <c r="AK21" s="21" t="s">
        <v>38</v>
      </c>
      <c r="AL21" s="12" t="s">
        <v>39</v>
      </c>
      <c r="AM21" s="12" t="s">
        <v>40</v>
      </c>
      <c r="AN21" s="23" t="s">
        <v>17</v>
      </c>
      <c r="AO21" s="12" t="s">
        <v>41</v>
      </c>
      <c r="AP21" s="12"/>
    </row>
    <row r="22" spans="1:45" hidden="1" x14ac:dyDescent="0.2">
      <c r="A22" s="8"/>
      <c r="E22" s="154" t="s">
        <v>42</v>
      </c>
      <c r="F22" s="154"/>
      <c r="G22" s="154"/>
      <c r="H22" s="154"/>
      <c r="I22" s="154"/>
      <c r="K22" s="9"/>
      <c r="M22" s="98" t="s">
        <v>43</v>
      </c>
      <c r="N22" s="126">
        <v>11.25</v>
      </c>
      <c r="O22" s="127">
        <v>50.6</v>
      </c>
      <c r="P22" s="4">
        <f>N22*O22</f>
        <v>569.25</v>
      </c>
      <c r="Q22" s="137">
        <v>51</v>
      </c>
      <c r="R22" s="167"/>
      <c r="AC22" s="154" t="s">
        <v>42</v>
      </c>
      <c r="AD22" s="154"/>
      <c r="AE22" s="154"/>
      <c r="AF22" s="154"/>
      <c r="AG22" s="154"/>
      <c r="AI22" s="9"/>
      <c r="AK22" s="98" t="s">
        <v>43</v>
      </c>
      <c r="AL22" s="195">
        <f>N22</f>
        <v>11.25</v>
      </c>
      <c r="AM22" s="196">
        <f>O22</f>
        <v>50.6</v>
      </c>
      <c r="AN22" s="4">
        <f>AL22*AM22</f>
        <v>569.25</v>
      </c>
      <c r="AO22" s="197">
        <f>Q22</f>
        <v>51</v>
      </c>
      <c r="AP22" s="167"/>
    </row>
    <row r="23" spans="1:45" hidden="1" x14ac:dyDescent="0.2">
      <c r="A23" s="8"/>
      <c r="C23" s="6" t="s">
        <v>44</v>
      </c>
      <c r="E23" s="16">
        <f>COUNTA(E43:E44)</f>
        <v>0</v>
      </c>
      <c r="F23" s="16">
        <f>COUNTA(F43:F44)</f>
        <v>0</v>
      </c>
      <c r="G23" s="16">
        <f>COUNTA(G43:G44)</f>
        <v>0</v>
      </c>
      <c r="H23" s="16">
        <f>COUNTA(H43:H44)</f>
        <v>0</v>
      </c>
      <c r="I23" s="16">
        <f>COUNTA(I43:I44)</f>
        <v>0</v>
      </c>
      <c r="K23" s="9" t="str">
        <f>IF(OR(E23&gt;1,F23&gt;1,G23&gt;1,H23&gt;1,I23&gt;1),"Y","N")</f>
        <v>N</v>
      </c>
      <c r="M23" s="98" t="s">
        <v>45</v>
      </c>
      <c r="N23" s="126">
        <v>13.5</v>
      </c>
      <c r="O23" s="127">
        <v>42.2</v>
      </c>
      <c r="P23" s="4">
        <f>N23*O23</f>
        <v>569.70000000000005</v>
      </c>
      <c r="Q23" s="137">
        <v>42</v>
      </c>
      <c r="R23" s="167"/>
      <c r="AA23" s="6" t="s">
        <v>44</v>
      </c>
      <c r="AC23" s="16">
        <f>COUNTA(AC43:AC44)</f>
        <v>0</v>
      </c>
      <c r="AD23" s="16">
        <f>COUNTA(AD43:AD44)</f>
        <v>0</v>
      </c>
      <c r="AE23" s="16">
        <f>COUNTA(AE43:AE44)</f>
        <v>0</v>
      </c>
      <c r="AF23" s="16">
        <f>COUNTA(AF43:AF44)</f>
        <v>0</v>
      </c>
      <c r="AG23" s="16">
        <f>COUNTA(AG43:AG44)</f>
        <v>0</v>
      </c>
      <c r="AI23" s="9" t="str">
        <f>IF(OR(AC23&gt;1,AD23&gt;1,AE23&gt;1,AF23&gt;1,AG23&gt;1),"Y","N")</f>
        <v>N</v>
      </c>
      <c r="AK23" s="98" t="s">
        <v>45</v>
      </c>
      <c r="AL23" s="195">
        <f>N23</f>
        <v>13.5</v>
      </c>
      <c r="AM23" s="196">
        <f>O23</f>
        <v>42.2</v>
      </c>
      <c r="AN23" s="4">
        <f>AL23*AM23</f>
        <v>569.70000000000005</v>
      </c>
      <c r="AO23" s="197">
        <f>Q23</f>
        <v>42</v>
      </c>
      <c r="AP23" s="167"/>
    </row>
    <row r="24" spans="1:45" hidden="1" x14ac:dyDescent="0.2">
      <c r="A24" s="8"/>
      <c r="C24" s="6" t="s">
        <v>46</v>
      </c>
      <c r="E24" s="24">
        <f>COUNTA(E45:E46)</f>
        <v>0</v>
      </c>
      <c r="F24" s="24">
        <f>COUNTA(F45:F46)</f>
        <v>0</v>
      </c>
      <c r="G24" s="24">
        <f>COUNTA(G45:G46)</f>
        <v>0</v>
      </c>
      <c r="H24" s="24">
        <f>COUNTA(H45:H46)</f>
        <v>0</v>
      </c>
      <c r="I24" s="24">
        <f>COUNTA(I45:I46)</f>
        <v>0</v>
      </c>
      <c r="K24" s="9" t="str">
        <f>IF(OR(E24&gt;1,F24&gt;1,G24&gt;1,H24&gt;1,I24&gt;1),"Y","N")</f>
        <v>N</v>
      </c>
      <c r="S24" s="9"/>
      <c r="T24" s="9"/>
      <c r="U24" s="9"/>
      <c r="AA24" s="6" t="s">
        <v>46</v>
      </c>
      <c r="AC24" s="24">
        <f>COUNTA(AC45:AC46)</f>
        <v>0</v>
      </c>
      <c r="AD24" s="24">
        <f>COUNTA(AD45:AD46)</f>
        <v>0</v>
      </c>
      <c r="AE24" s="24">
        <f>COUNTA(AE45:AE46)</f>
        <v>0</v>
      </c>
      <c r="AF24" s="24">
        <f>COUNTA(AF45:AF46)</f>
        <v>0</v>
      </c>
      <c r="AG24" s="24">
        <f>COUNTA(AG45:AG46)</f>
        <v>0</v>
      </c>
      <c r="AI24" s="9" t="str">
        <f>IF(OR(AC24&gt;1,AD24&gt;1,AE24&gt;1,AF24&gt;1,AG24&gt;1),"Y","N")</f>
        <v>N</v>
      </c>
      <c r="AQ24" s="9"/>
      <c r="AR24" s="9"/>
      <c r="AS24" s="9"/>
    </row>
    <row r="25" spans="1:45" hidden="1" x14ac:dyDescent="0.2">
      <c r="A25" s="8"/>
      <c r="C25" s="6" t="s">
        <v>47</v>
      </c>
      <c r="E25" s="16">
        <f>COUNTA(E45:E48)</f>
        <v>0</v>
      </c>
      <c r="F25" s="16">
        <f>COUNTA(F45:F48)</f>
        <v>0</v>
      </c>
      <c r="G25" s="16">
        <f>COUNTA(G45:G48)</f>
        <v>0</v>
      </c>
      <c r="H25" s="16">
        <f>COUNTA(H45:H48)</f>
        <v>0</v>
      </c>
      <c r="I25" s="16">
        <f>COUNTA(I45:I48)</f>
        <v>0</v>
      </c>
      <c r="K25" s="9" t="str">
        <f>IF(OR(E25&gt;1,F25&gt;1,G25&gt;1,H25&gt;1,I25&gt;1),"Y","N")</f>
        <v>N</v>
      </c>
      <c r="M25" s="18" t="s">
        <v>48</v>
      </c>
      <c r="O25" s="5"/>
      <c r="P25" s="25"/>
      <c r="Q25" s="26" t="s">
        <v>49</v>
      </c>
      <c r="S25" s="9"/>
      <c r="T25" s="9"/>
      <c r="U25" s="9"/>
      <c r="AA25" s="6" t="s">
        <v>47</v>
      </c>
      <c r="AC25" s="16">
        <f>COUNTA(AC45:AC48)</f>
        <v>0</v>
      </c>
      <c r="AD25" s="16">
        <f>COUNTA(AD45:AD48)</f>
        <v>0</v>
      </c>
      <c r="AE25" s="16">
        <f>COUNTA(AE45:AE48)</f>
        <v>0</v>
      </c>
      <c r="AF25" s="16">
        <f>COUNTA(AF45:AF48)</f>
        <v>0</v>
      </c>
      <c r="AG25" s="16">
        <f>COUNTA(AG45:AG48)</f>
        <v>0</v>
      </c>
      <c r="AI25" s="9" t="str">
        <f>IF(OR(AC25&gt;1,AD25&gt;1,AE25&gt;1,AF25&gt;1,AG25&gt;1),"Y","N")</f>
        <v>N</v>
      </c>
      <c r="AK25" s="198" t="str">
        <f>M25</f>
        <v>Not available at Shoreham</v>
      </c>
      <c r="AM25" s="5"/>
      <c r="AN25" s="25"/>
      <c r="AO25" s="199" t="str">
        <f>Q25</f>
        <v>Fees are not payable when the nursery is closed for Bank Holidays and between Christmas and New Year, resulting in a lower than average monthly invoice.</v>
      </c>
      <c r="AQ25" s="9"/>
      <c r="AR25" s="9"/>
      <c r="AS25" s="9"/>
    </row>
    <row r="26" spans="1:45" hidden="1" x14ac:dyDescent="0.2">
      <c r="A26" s="8"/>
      <c r="C26" s="6" t="s">
        <v>50</v>
      </c>
      <c r="E26" s="16">
        <f>COUNTA(E49:E50)</f>
        <v>0</v>
      </c>
      <c r="F26" s="16">
        <f>COUNTA(F49:F50)</f>
        <v>0</v>
      </c>
      <c r="G26" s="16">
        <f>COUNTA(G49:G50)</f>
        <v>0</v>
      </c>
      <c r="H26" s="16">
        <f>COUNTA(H49:H50)</f>
        <v>0</v>
      </c>
      <c r="I26" s="16">
        <f>COUNTA(I49:I50)</f>
        <v>0</v>
      </c>
      <c r="K26" s="9" t="str">
        <f>IF(OR(E26&gt;1,F26&gt;1,G26&gt;1,H26&gt;1,I26&gt;1),"Y","N")</f>
        <v>N</v>
      </c>
      <c r="M26" s="18" t="s">
        <v>51</v>
      </c>
      <c r="O26" s="5"/>
      <c r="P26" s="25"/>
      <c r="Q26" s="26" t="s">
        <v>52</v>
      </c>
      <c r="S26" s="9"/>
      <c r="T26" s="9"/>
      <c r="U26" s="9"/>
      <c r="AA26" s="6" t="s">
        <v>50</v>
      </c>
      <c r="AC26" s="16">
        <f>COUNTA(AC49:AC50)</f>
        <v>0</v>
      </c>
      <c r="AD26" s="16">
        <f>COUNTA(AD49:AD50)</f>
        <v>0</v>
      </c>
      <c r="AE26" s="16">
        <f>COUNTA(AE49:AE50)</f>
        <v>0</v>
      </c>
      <c r="AF26" s="16">
        <f>COUNTA(AF49:AF50)</f>
        <v>0</v>
      </c>
      <c r="AG26" s="16">
        <f>COUNTA(AG49:AG50)</f>
        <v>0</v>
      </c>
      <c r="AI26" s="9" t="str">
        <f>IF(OR(AC26&gt;1,AD26&gt;1,AE26&gt;1,AF26&gt;1,AG26&gt;1),"Y","N")</f>
        <v>N</v>
      </c>
      <c r="AK26" s="198" t="str">
        <f t="shared" ref="AK26:AK29" si="3">M26</f>
        <v>Please Select a Full Day session instead</v>
      </c>
      <c r="AM26" s="5"/>
      <c r="AN26" s="25"/>
      <c r="AO26" s="199" t="str">
        <f>Q26</f>
        <v>Fees are not payable during the main school holidays or when the nursery is closed for Bank Holidays, resulting in a lower than average monthly invoice.</v>
      </c>
      <c r="AQ26" s="9"/>
      <c r="AR26" s="9"/>
      <c r="AS26" s="9"/>
    </row>
    <row r="27" spans="1:45" hidden="1" x14ac:dyDescent="0.2">
      <c r="A27" s="8"/>
      <c r="C27" s="6" t="s">
        <v>53</v>
      </c>
      <c r="E27" s="16" t="str">
        <f>IF(AND(E25=0,E23&gt;0),"Y","N")</f>
        <v>N</v>
      </c>
      <c r="F27" s="16" t="str">
        <f>IF(AND(F25=0,F23&gt;0),"Y","N")</f>
        <v>N</v>
      </c>
      <c r="G27" s="16" t="str">
        <f>IF(AND(G25=0,G23&gt;0),"Y","N")</f>
        <v>N</v>
      </c>
      <c r="H27" s="16" t="str">
        <f>IF(AND(H25=0,H23&gt;0),"Y","N")</f>
        <v>N</v>
      </c>
      <c r="I27" s="16" t="str">
        <f>IF(AND(I25=0,I23&gt;0),"Y","N")</f>
        <v>N</v>
      </c>
      <c r="K27" s="9">
        <f>COUNTIF(E27:I27,"Y")</f>
        <v>0</v>
      </c>
      <c r="M27" s="18" t="s">
        <v>54</v>
      </c>
      <c r="O27" s="5"/>
      <c r="P27" s="25"/>
      <c r="Q27" s="26" t="str">
        <f>"Funding is available for "&amp;X46&amp;" weeks of the year. This may leave a couple of days unfunded where session fees are payable in full."</f>
        <v>Funding is available for 50.6 weeks of the year. This may leave a couple of days unfunded where session fees are payable in full.</v>
      </c>
      <c r="S27" s="9"/>
      <c r="T27" s="9"/>
      <c r="U27" s="9"/>
      <c r="AA27" s="6" t="s">
        <v>53</v>
      </c>
      <c r="AC27" s="16" t="str">
        <f>IF(AND(AC25=0,AC23&gt;0),"Y","N")</f>
        <v>N</v>
      </c>
      <c r="AD27" s="16" t="str">
        <f>IF(AND(AD25=0,AD23&gt;0),"Y","N")</f>
        <v>N</v>
      </c>
      <c r="AE27" s="16" t="str">
        <f>IF(AND(AE25=0,AE23&gt;0),"Y","N")</f>
        <v>N</v>
      </c>
      <c r="AF27" s="16" t="str">
        <f>IF(AND(AF25=0,AF23&gt;0),"Y","N")</f>
        <v>N</v>
      </c>
      <c r="AG27" s="16" t="str">
        <f>IF(AND(AG25=0,AG23&gt;0),"Y","N")</f>
        <v>N</v>
      </c>
      <c r="AI27" s="9">
        <f>COUNTIF(AC27:AG27,"Y")</f>
        <v>0</v>
      </c>
      <c r="AK27" s="198" t="str">
        <f t="shared" si="3"/>
        <v>Please do not select concurrent sessions</v>
      </c>
      <c r="AM27" s="5"/>
      <c r="AN27" s="25"/>
      <c r="AO27" s="26" t="str">
        <f>"Funding is available for "&amp;AV46&amp;" weeks of the year. This may leave a couple of days unfunded where session fees are payable in full."</f>
        <v>Funding is available for 50.6 weeks of the year. This may leave a couple of days unfunded where session fees are payable in full.</v>
      </c>
      <c r="AQ27" s="9"/>
      <c r="AR27" s="9"/>
      <c r="AS27" s="9"/>
    </row>
    <row r="28" spans="1:45" hidden="1" x14ac:dyDescent="0.2">
      <c r="A28" s="8"/>
      <c r="C28" s="6" t="s">
        <v>55</v>
      </c>
      <c r="D28" s="5"/>
      <c r="E28" s="16" t="str">
        <f>IF(AND(E25=0,E26&gt;0),"Y","N")</f>
        <v>N</v>
      </c>
      <c r="F28" s="16" t="str">
        <f>IF(AND(F25=0,F26&gt;0),"Y","N")</f>
        <v>N</v>
      </c>
      <c r="G28" s="16" t="str">
        <f>IF(AND(G25=0,G26&gt;0),"Y","N")</f>
        <v>N</v>
      </c>
      <c r="H28" s="16" t="str">
        <f>IF(AND(H25=0,H26&gt;0),"Y","N")</f>
        <v>N</v>
      </c>
      <c r="I28" s="16" t="str">
        <f>IF(AND(I25=0,I26&gt;0),"Y","N")</f>
        <v>N</v>
      </c>
      <c r="K28" s="9">
        <f>COUNTIF(E28:I28,"Y")</f>
        <v>0</v>
      </c>
      <c r="M28" s="26" t="s">
        <v>56</v>
      </c>
      <c r="N28" s="5"/>
      <c r="O28" s="5"/>
      <c r="P28" s="25"/>
      <c r="AA28" s="6" t="s">
        <v>55</v>
      </c>
      <c r="AB28" s="5"/>
      <c r="AC28" s="16" t="str">
        <f>IF(AND(AC25=0,AC26&gt;0),"Y","N")</f>
        <v>N</v>
      </c>
      <c r="AD28" s="16" t="str">
        <f>IF(AND(AD25=0,AD26&gt;0),"Y","N")</f>
        <v>N</v>
      </c>
      <c r="AE28" s="16" t="str">
        <f>IF(AND(AE25=0,AE26&gt;0),"Y","N")</f>
        <v>N</v>
      </c>
      <c r="AF28" s="16" t="str">
        <f>IF(AND(AF25=0,AF26&gt;0),"Y","N")</f>
        <v>N</v>
      </c>
      <c r="AG28" s="16" t="str">
        <f>IF(AND(AG25=0,AG26&gt;0),"Y","N")</f>
        <v>N</v>
      </c>
      <c r="AI28" s="9">
        <f>COUNTIF(AC28:AG28,"Y")</f>
        <v>0</v>
      </c>
      <c r="AK28" s="198" t="str">
        <f t="shared" si="3"/>
        <v>Please select a Core Session to attend the Add-on</v>
      </c>
      <c r="AL28" s="5"/>
      <c r="AM28" s="5"/>
      <c r="AN28" s="25"/>
    </row>
    <row r="29" spans="1:45" hidden="1" x14ac:dyDescent="0.2">
      <c r="A29" s="8"/>
      <c r="C29" s="6" t="s">
        <v>57</v>
      </c>
      <c r="D29" s="5"/>
      <c r="E29" s="16" t="str">
        <f>IF(COUNTA(E46,E52)=2,"Y","N")</f>
        <v>N</v>
      </c>
      <c r="F29" s="16" t="str">
        <f>IF(COUNTA(F46,F52)=2,"Y","N")</f>
        <v>N</v>
      </c>
      <c r="G29" s="16" t="str">
        <f>IF(COUNTA(G46,G52)=2,"Y","N")</f>
        <v>N</v>
      </c>
      <c r="H29" s="16" t="str">
        <f>IF(COUNTA(H46,H52)=2,"Y","N")</f>
        <v>N</v>
      </c>
      <c r="I29" s="16" t="str">
        <f>IF(COUNTA(I46,I52)=2,"Y","N")</f>
        <v>N</v>
      </c>
      <c r="K29" s="9">
        <f>COUNTIF(E29:I29,"Y")</f>
        <v>0</v>
      </c>
      <c r="M29" s="18" t="s">
        <v>58</v>
      </c>
      <c r="O29" s="5"/>
      <c r="Q29" s="136" t="str">
        <f>"The average monthly cost for "&amp;E35&amp;" attendance is calculated by taking the total annual cost and spreading it equally over "&amp;X60&amp;" months."</f>
        <v>The average monthly cost for All Year attendance is calculated by taking the total annual cost and spreading it equally over 12 months.</v>
      </c>
      <c r="AA29" s="6" t="s">
        <v>57</v>
      </c>
      <c r="AB29" s="5"/>
      <c r="AC29" s="16" t="str">
        <f>IF(COUNTA(AC46,AC52)=2,"Y","N")</f>
        <v>N</v>
      </c>
      <c r="AD29" s="16" t="str">
        <f>IF(COUNTA(AD46,AD52)=2,"Y","N")</f>
        <v>N</v>
      </c>
      <c r="AE29" s="16" t="str">
        <f>IF(COUNTA(AE46,AE52)=2,"Y","N")</f>
        <v>N</v>
      </c>
      <c r="AF29" s="16" t="str">
        <f>IF(COUNTA(AF46,AF52)=2,"Y","N")</f>
        <v>N</v>
      </c>
      <c r="AG29" s="16" t="str">
        <f>IF(COUNTA(AG46,AG52)=2,"Y","N")</f>
        <v>N</v>
      </c>
      <c r="AI29" s="9">
        <f>COUNTIF(AC29:AG29,"Y")</f>
        <v>0</v>
      </c>
      <c r="AK29" s="198" t="str">
        <f t="shared" si="3"/>
        <v>Lunch is not available during Afternoon Sessions</v>
      </c>
      <c r="AM29" s="5"/>
      <c r="AO29" s="136" t="str">
        <f>"The average monthly cost for "&amp;AC35&amp;" attendance is calculated by taking the total annual cost and spreading it equally over "&amp;AV60&amp;" months."</f>
        <v>The average monthly cost for All Year attendance is calculated by taking the total annual cost and spreading it equally over 12 months.</v>
      </c>
    </row>
    <row r="30" spans="1:45" ht="13.5" hidden="1" thickBot="1" x14ac:dyDescent="0.25">
      <c r="A30" s="8"/>
      <c r="D30" s="5"/>
      <c r="E30" s="9"/>
      <c r="F30" s="9"/>
      <c r="G30" s="9"/>
      <c r="H30" s="9"/>
      <c r="I30" s="9"/>
      <c r="K30" s="9"/>
      <c r="O30" s="5"/>
      <c r="AB30" s="5"/>
      <c r="AC30" s="9"/>
      <c r="AD30" s="9"/>
      <c r="AE30" s="9"/>
      <c r="AF30" s="9"/>
      <c r="AG30" s="9"/>
      <c r="AI30" s="9"/>
      <c r="AM30" s="5"/>
    </row>
    <row r="31" spans="1:45" ht="16.5" thickBot="1" x14ac:dyDescent="0.3">
      <c r="A31" s="199"/>
      <c r="B31" s="205" t="s">
        <v>139</v>
      </c>
      <c r="C31" s="206"/>
      <c r="D31" s="206"/>
      <c r="E31" s="206"/>
      <c r="F31" s="206"/>
      <c r="G31" s="206"/>
      <c r="H31" s="206"/>
      <c r="I31" s="206"/>
      <c r="J31" s="207"/>
      <c r="K31" s="9"/>
      <c r="O31" s="5"/>
      <c r="Z31" s="205" t="s">
        <v>140</v>
      </c>
      <c r="AA31" s="206"/>
      <c r="AB31" s="206"/>
      <c r="AC31" s="206"/>
      <c r="AD31" s="206"/>
      <c r="AE31" s="206"/>
      <c r="AF31" s="206"/>
      <c r="AG31" s="206"/>
      <c r="AH31" s="207"/>
      <c r="AI31" s="9"/>
      <c r="AM31" s="5"/>
    </row>
    <row r="32" spans="1:45" ht="13.5" customHeight="1" thickBot="1" x14ac:dyDescent="0.25">
      <c r="B32" s="27"/>
      <c r="C32" s="28"/>
      <c r="D32" s="28"/>
      <c r="E32" s="29"/>
      <c r="F32" s="29"/>
      <c r="G32" s="155" t="str">
        <f>P15</f>
        <v>NB: Sunrise &amp; Sunset sessions are only available at Brighton</v>
      </c>
      <c r="H32" s="155"/>
      <c r="I32" s="155"/>
      <c r="J32" s="156"/>
      <c r="K32" s="9"/>
      <c r="O32" s="5"/>
      <c r="Z32" s="27"/>
      <c r="AA32" s="28"/>
      <c r="AB32" s="28"/>
      <c r="AC32" s="29"/>
      <c r="AD32" s="29"/>
      <c r="AE32" s="155" t="str">
        <f>AN15</f>
        <v>NB: Sunrise &amp; Sunset sessions are only available at Brighton</v>
      </c>
      <c r="AF32" s="155"/>
      <c r="AG32" s="155"/>
      <c r="AH32" s="156"/>
      <c r="AI32" s="9"/>
      <c r="AM32" s="5"/>
    </row>
    <row r="33" spans="2:48" ht="18" customHeight="1" thickBot="1" x14ac:dyDescent="0.25">
      <c r="B33" s="30"/>
      <c r="C33" s="31" t="s">
        <v>32</v>
      </c>
      <c r="D33" s="31"/>
      <c r="E33" s="140" t="s">
        <v>33</v>
      </c>
      <c r="F33" s="141"/>
      <c r="G33" s="139"/>
      <c r="H33" s="139"/>
      <c r="I33" s="139"/>
      <c r="J33" s="157"/>
      <c r="K33" s="9"/>
      <c r="M33" s="32" t="str">
        <f>IF(OR(E37=M11,E37=M12),P11,IF(OR(E37=M13,E37=M14),P12,IF(E37=M15,P13,IF(E37=M16,P14,P10))))</f>
        <v>funding is available to all 3 &amp; 4 year olds and qualifying 2 year olds (and from September 2024, qualifying 9 mth olds)</v>
      </c>
      <c r="O33" s="5"/>
      <c r="Z33" s="30"/>
      <c r="AA33" s="31" t="s">
        <v>32</v>
      </c>
      <c r="AB33" s="31"/>
      <c r="AC33" s="140" t="s">
        <v>33</v>
      </c>
      <c r="AD33" s="141"/>
      <c r="AE33" s="139"/>
      <c r="AF33" s="139"/>
      <c r="AG33" s="139"/>
      <c r="AH33" s="157"/>
      <c r="AI33" s="9"/>
      <c r="AK33" s="32" t="str">
        <f>IF(OR(AC37=AK11,AC37=AK12),AN11,IF(OR(AC37=AK13,AC37=AK14),AN12,IF(AC37=AK15,AN13,IF(AC37=AK16,AN14,AN10))))</f>
        <v>30hr funding for 3 and 4 year olds is available from the term after your child's 3rd birthday, and only for qualifying children.</v>
      </c>
      <c r="AM33" s="5"/>
    </row>
    <row r="34" spans="2:48" ht="7.5" customHeight="1" thickBot="1" x14ac:dyDescent="0.25">
      <c r="B34" s="30"/>
      <c r="C34" s="31"/>
      <c r="D34" s="31"/>
      <c r="E34" s="33"/>
      <c r="F34" s="33"/>
      <c r="G34" s="139"/>
      <c r="H34" s="139"/>
      <c r="I34" s="139"/>
      <c r="J34" s="157"/>
      <c r="K34" s="9"/>
      <c r="O34" s="5"/>
      <c r="Z34" s="30"/>
      <c r="AA34" s="31"/>
      <c r="AB34" s="31"/>
      <c r="AC34" s="33"/>
      <c r="AD34" s="33"/>
      <c r="AE34" s="139"/>
      <c r="AF34" s="139"/>
      <c r="AG34" s="139"/>
      <c r="AH34" s="157"/>
      <c r="AI34" s="9"/>
      <c r="AM34" s="5"/>
    </row>
    <row r="35" spans="2:48" ht="18" customHeight="1" thickBot="1" x14ac:dyDescent="0.25">
      <c r="B35" s="30"/>
      <c r="C35" s="31" t="s">
        <v>38</v>
      </c>
      <c r="D35" s="31"/>
      <c r="E35" s="140" t="s">
        <v>43</v>
      </c>
      <c r="F35" s="141"/>
      <c r="G35" s="158" t="str">
        <f>IF(AND(E$33=M$20,E$35=M$23),M$25,"")</f>
        <v/>
      </c>
      <c r="H35" s="158"/>
      <c r="I35" s="158"/>
      <c r="J35" s="34"/>
      <c r="M35" s="26" t="str">
        <f>"You will be claiming "&amp;X44&amp;"hrs of funding/week over "&amp;X46&amp;"wks."</f>
        <v>You will be claiming 0hrs of funding/week over 50.6wks.</v>
      </c>
      <c r="Z35" s="30"/>
      <c r="AA35" s="31" t="s">
        <v>38</v>
      </c>
      <c r="AB35" s="31"/>
      <c r="AC35" s="140" t="s">
        <v>43</v>
      </c>
      <c r="AD35" s="141"/>
      <c r="AE35" s="158" t="str">
        <f>IF(AND(AC$33=AK$20,AC$35=AK$23),AK$25,"")</f>
        <v/>
      </c>
      <c r="AF35" s="158"/>
      <c r="AG35" s="158"/>
      <c r="AH35" s="34"/>
      <c r="AK35" s="26" t="str">
        <f>"You will be claiming "&amp;AV44&amp;"hrs of funding/week over "&amp;AV46&amp;"wks."</f>
        <v>You will be claiming 0hrs of funding/week over 50.6wks.</v>
      </c>
    </row>
    <row r="36" spans="2:48" ht="7.5" customHeight="1" thickBot="1" x14ac:dyDescent="0.25">
      <c r="B36" s="30"/>
      <c r="C36" s="31"/>
      <c r="D36" s="31"/>
      <c r="E36" s="33"/>
      <c r="F36" s="33"/>
      <c r="G36" s="35"/>
      <c r="J36" s="36"/>
      <c r="Z36" s="30"/>
      <c r="AA36" s="31"/>
      <c r="AB36" s="31"/>
      <c r="AC36" s="33"/>
      <c r="AD36" s="33"/>
      <c r="AE36" s="35"/>
      <c r="AH36" s="36"/>
    </row>
    <row r="37" spans="2:48" ht="18" customHeight="1" thickBot="1" x14ac:dyDescent="0.25">
      <c r="B37" s="30"/>
      <c r="C37" s="31" t="s">
        <v>23</v>
      </c>
      <c r="D37" s="31"/>
      <c r="E37" s="140" t="s">
        <v>24</v>
      </c>
      <c r="F37" s="141"/>
      <c r="G37" s="158" t="str">
        <f>IF(OR(E37=M12,E37=M14),M39,"")</f>
        <v/>
      </c>
      <c r="H37" s="158"/>
      <c r="I37" s="158"/>
      <c r="J37" s="34"/>
      <c r="M37" s="26" t="s">
        <v>59</v>
      </c>
      <c r="Z37" s="30"/>
      <c r="AA37" s="31" t="s">
        <v>23</v>
      </c>
      <c r="AB37" s="31"/>
      <c r="AC37" s="140" t="s">
        <v>30</v>
      </c>
      <c r="AD37" s="141"/>
      <c r="AE37" s="158" t="str">
        <f>IF(OR(AC37=AK12,AC37=AK14),AK39,"")</f>
        <v/>
      </c>
      <c r="AF37" s="158"/>
      <c r="AG37" s="158"/>
      <c r="AH37" s="34"/>
      <c r="AK37" s="199" t="str">
        <f>M37</f>
        <v>You are not claiming any funding</v>
      </c>
    </row>
    <row r="38" spans="2:48" ht="7.5" customHeight="1" thickBot="1" x14ac:dyDescent="0.25">
      <c r="B38" s="30"/>
      <c r="C38" s="3"/>
      <c r="D38" s="3"/>
      <c r="G38" s="139" t="str">
        <f>IF(E39=O19,P16,"")</f>
        <v/>
      </c>
      <c r="H38" s="139"/>
      <c r="I38" s="139"/>
      <c r="J38" s="36"/>
      <c r="Z38" s="30"/>
      <c r="AA38" s="3"/>
      <c r="AB38" s="3"/>
      <c r="AE38" s="139" t="str">
        <f>IF(AC39=AM19,AN16,"")</f>
        <v/>
      </c>
      <c r="AF38" s="139"/>
      <c r="AG38" s="139"/>
      <c r="AH38" s="36"/>
    </row>
    <row r="39" spans="2:48" ht="18" customHeight="1" thickBot="1" x14ac:dyDescent="0.25">
      <c r="B39" s="30"/>
      <c r="C39" s="31" t="s">
        <v>89</v>
      </c>
      <c r="D39" s="31"/>
      <c r="E39" s="140" t="s">
        <v>90</v>
      </c>
      <c r="F39" s="141"/>
      <c r="G39" s="139"/>
      <c r="H39" s="139"/>
      <c r="I39" s="139"/>
      <c r="J39" s="36"/>
      <c r="M39" s="18" t="str">
        <f>"Not before "&amp;VLOOKUP(E37,M10:O16,3,FALSE)</f>
        <v xml:space="preserve">Not before </v>
      </c>
      <c r="Z39" s="30"/>
      <c r="AA39" s="31" t="s">
        <v>89</v>
      </c>
      <c r="AB39" s="31"/>
      <c r="AC39" s="140" t="s">
        <v>90</v>
      </c>
      <c r="AD39" s="141"/>
      <c r="AE39" s="139"/>
      <c r="AF39" s="139"/>
      <c r="AG39" s="139"/>
      <c r="AH39" s="36"/>
      <c r="AK39" s="18" t="str">
        <f>"Not before "&amp;VLOOKUP(AC37,AK10:AM16,3,FALSE)</f>
        <v xml:space="preserve">Not before </v>
      </c>
    </row>
    <row r="40" spans="2:48" ht="7.5" customHeight="1" x14ac:dyDescent="0.2">
      <c r="B40" s="30"/>
      <c r="C40" s="3"/>
      <c r="D40" s="3"/>
      <c r="G40" s="139"/>
      <c r="H40" s="139"/>
      <c r="I40" s="139"/>
      <c r="J40" s="36"/>
      <c r="Z40" s="30"/>
      <c r="AA40" s="3"/>
      <c r="AB40" s="3"/>
      <c r="AE40" s="139"/>
      <c r="AF40" s="139"/>
      <c r="AG40" s="139"/>
      <c r="AH40" s="36"/>
    </row>
    <row r="41" spans="2:48" ht="42" customHeight="1" x14ac:dyDescent="0.2">
      <c r="B41" s="30"/>
      <c r="C41" s="144" t="str">
        <f>"Please note that "&amp;M33</f>
        <v>Please note that funding is available to all 3 &amp; 4 year olds and qualifying 2 year olds (and from September 2024, qualifying 9 mth olds)</v>
      </c>
      <c r="D41" s="144"/>
      <c r="E41" s="144"/>
      <c r="F41" s="144"/>
      <c r="G41" s="144"/>
      <c r="H41" s="144"/>
      <c r="I41" s="144"/>
      <c r="J41" s="37"/>
      <c r="L41" s="38" t="s">
        <v>60</v>
      </c>
      <c r="M41" s="38" t="s">
        <v>113</v>
      </c>
      <c r="N41" s="38" t="s">
        <v>62</v>
      </c>
      <c r="O41" s="38" t="s">
        <v>92</v>
      </c>
      <c r="P41" s="38" t="s">
        <v>63</v>
      </c>
      <c r="Q41" s="38" t="s">
        <v>94</v>
      </c>
      <c r="R41" s="38" t="s">
        <v>64</v>
      </c>
      <c r="S41" s="38" t="s">
        <v>23</v>
      </c>
      <c r="T41" s="38" t="s">
        <v>96</v>
      </c>
      <c r="U41" s="38" t="s">
        <v>95</v>
      </c>
      <c r="V41" s="38" t="s">
        <v>65</v>
      </c>
      <c r="Z41" s="30"/>
      <c r="AA41" s="144" t="str">
        <f>"Please note that "&amp;AK33</f>
        <v>Please note that 30hr funding for 3 and 4 year olds is available from the term after your child's 3rd birthday, and only for qualifying children.</v>
      </c>
      <c r="AB41" s="144"/>
      <c r="AC41" s="144"/>
      <c r="AD41" s="144"/>
      <c r="AE41" s="144"/>
      <c r="AF41" s="144"/>
      <c r="AG41" s="144"/>
      <c r="AH41" s="37"/>
      <c r="AJ41" s="38" t="s">
        <v>60</v>
      </c>
      <c r="AK41" s="38" t="s">
        <v>113</v>
      </c>
      <c r="AL41" s="38" t="s">
        <v>62</v>
      </c>
      <c r="AM41" s="38" t="s">
        <v>92</v>
      </c>
      <c r="AN41" s="38" t="s">
        <v>63</v>
      </c>
      <c r="AO41" s="38" t="s">
        <v>94</v>
      </c>
      <c r="AP41" s="38" t="s">
        <v>64</v>
      </c>
      <c r="AQ41" s="38" t="s">
        <v>23</v>
      </c>
      <c r="AR41" s="38" t="s">
        <v>96</v>
      </c>
      <c r="AS41" s="38" t="s">
        <v>95</v>
      </c>
      <c r="AT41" s="38" t="s">
        <v>65</v>
      </c>
    </row>
    <row r="42" spans="2:48" s="38" customFormat="1" ht="18.75" customHeight="1" thickBot="1" x14ac:dyDescent="0.25">
      <c r="B42" s="39"/>
      <c r="C42" s="40"/>
      <c r="D42" s="40"/>
      <c r="E42" s="12" t="s">
        <v>66</v>
      </c>
      <c r="F42" s="12" t="s">
        <v>67</v>
      </c>
      <c r="G42" s="12" t="s">
        <v>68</v>
      </c>
      <c r="H42" s="12" t="s">
        <v>69</v>
      </c>
      <c r="I42" s="12" t="s">
        <v>70</v>
      </c>
      <c r="J42" s="41"/>
      <c r="K42" s="12"/>
      <c r="W42" s="6" t="s">
        <v>71</v>
      </c>
      <c r="X42" s="16">
        <f>IF(OR(E37=M12,E37=M14,E37=M16),2,1)</f>
        <v>1</v>
      </c>
      <c r="Y42" s="9"/>
      <c r="Z42" s="39"/>
      <c r="AA42" s="40"/>
      <c r="AB42" s="40"/>
      <c r="AC42" s="12" t="s">
        <v>66</v>
      </c>
      <c r="AD42" s="12" t="s">
        <v>67</v>
      </c>
      <c r="AE42" s="12" t="s">
        <v>68</v>
      </c>
      <c r="AF42" s="12" t="s">
        <v>69</v>
      </c>
      <c r="AG42" s="12" t="s">
        <v>70</v>
      </c>
      <c r="AH42" s="41"/>
      <c r="AI42" s="12"/>
      <c r="AU42" s="6" t="s">
        <v>71</v>
      </c>
      <c r="AV42" s="16">
        <f>IF(OR(AC37=AK12,AC37=AK14,AC37=AK16),2,1)</f>
        <v>2</v>
      </c>
    </row>
    <row r="43" spans="2:48" ht="14.25" x14ac:dyDescent="0.2">
      <c r="B43" s="30"/>
      <c r="C43" s="31" t="str">
        <f>C10</f>
        <v>Sunrise</v>
      </c>
      <c r="D43" s="31"/>
      <c r="E43" s="42"/>
      <c r="F43" s="43"/>
      <c r="G43" s="43"/>
      <c r="H43" s="43"/>
      <c r="I43" s="44"/>
      <c r="J43" s="45"/>
      <c r="K43" s="33"/>
      <c r="L43" s="9">
        <f>G10</f>
        <v>1.2499999999999996</v>
      </c>
      <c r="M43" s="9">
        <f>IF(E33=M18,COUNTA(E43:I43),0)</f>
        <v>0</v>
      </c>
      <c r="N43" s="9">
        <f>L43*M43</f>
        <v>0</v>
      </c>
      <c r="O43" s="46">
        <v>0</v>
      </c>
      <c r="P43" s="47">
        <f>ROUND(H$18*L43*(1-O43),2)</f>
        <v>10.65</v>
      </c>
      <c r="Q43" s="47">
        <f>P43/L43</f>
        <v>8.5200000000000031</v>
      </c>
      <c r="R43" s="48">
        <f t="shared" ref="R43:R50" si="4">M43*P43</f>
        <v>0</v>
      </c>
      <c r="S43" s="9">
        <v>0</v>
      </c>
      <c r="T43" s="115" t="s">
        <v>16</v>
      </c>
      <c r="U43" s="9">
        <v>0</v>
      </c>
      <c r="V43" s="9">
        <f t="shared" ref="V43:V50" si="5">S43*M43</f>
        <v>0</v>
      </c>
      <c r="W43" s="6" t="s">
        <v>72</v>
      </c>
      <c r="X43" s="16">
        <f>IF(E35=M23,N23,N22)*X42</f>
        <v>11.25</v>
      </c>
      <c r="Y43" s="9"/>
      <c r="Z43" s="30"/>
      <c r="AA43" s="31" t="str">
        <f>AA10</f>
        <v>Sunrise</v>
      </c>
      <c r="AB43" s="31"/>
      <c r="AC43" s="42"/>
      <c r="AD43" s="43"/>
      <c r="AE43" s="43"/>
      <c r="AF43" s="43"/>
      <c r="AG43" s="44"/>
      <c r="AH43" s="45"/>
      <c r="AI43" s="33"/>
      <c r="AJ43" s="9">
        <f>AE10</f>
        <v>1.2499999999999996</v>
      </c>
      <c r="AK43" s="9">
        <f>IF(AC33=AK18,COUNTA(AC43:AG43),0)</f>
        <v>0</v>
      </c>
      <c r="AL43" s="9">
        <f>AJ43*AK43</f>
        <v>0</v>
      </c>
      <c r="AM43" s="46">
        <v>0</v>
      </c>
      <c r="AN43" s="47">
        <f>ROUND(AF$18*AJ43*(1-AM43),2)</f>
        <v>10.65</v>
      </c>
      <c r="AO43" s="47">
        <f>AN43/AJ43</f>
        <v>8.5200000000000031</v>
      </c>
      <c r="AP43" s="48">
        <f t="shared" ref="AP43:AP50" si="6">AK43*AN43</f>
        <v>0</v>
      </c>
      <c r="AQ43" s="9">
        <v>0</v>
      </c>
      <c r="AR43" s="115" t="s">
        <v>16</v>
      </c>
      <c r="AS43" s="9">
        <v>0</v>
      </c>
      <c r="AT43" s="9">
        <f t="shared" ref="AT43:AT50" si="7">AQ43*AK43</f>
        <v>0</v>
      </c>
      <c r="AU43" s="6" t="s">
        <v>72</v>
      </c>
      <c r="AV43" s="16">
        <f>IF(AC35=AK23,AL23,AL22)*AV42</f>
        <v>22.5</v>
      </c>
    </row>
    <row r="44" spans="2:48" ht="15" thickBot="1" x14ac:dyDescent="0.25">
      <c r="B44" s="30"/>
      <c r="C44" s="31" t="str">
        <f>C11</f>
        <v>Early Start</v>
      </c>
      <c r="D44" s="31"/>
      <c r="E44" s="49"/>
      <c r="F44" s="50"/>
      <c r="G44" s="50"/>
      <c r="H44" s="50"/>
      <c r="I44" s="51"/>
      <c r="J44" s="45"/>
      <c r="K44" s="33"/>
      <c r="L44" s="9">
        <f>G11</f>
        <v>0.49999999999999956</v>
      </c>
      <c r="M44" s="9">
        <f t="shared" ref="M44:M49" si="8">COUNTA(E44:I44)</f>
        <v>0</v>
      </c>
      <c r="N44" s="9">
        <f t="shared" ref="N44:N50" si="9">L44*M44</f>
        <v>0</v>
      </c>
      <c r="O44" s="46">
        <v>0</v>
      </c>
      <c r="P44" s="47">
        <f>ROUND(H$18*L44*(1-O44),2)</f>
        <v>4.26</v>
      </c>
      <c r="Q44" s="47">
        <f t="shared" ref="Q44:Q50" si="10">P44/L44</f>
        <v>8.5200000000000067</v>
      </c>
      <c r="R44" s="48">
        <f t="shared" si="4"/>
        <v>0</v>
      </c>
      <c r="S44" s="9">
        <v>0</v>
      </c>
      <c r="T44" s="115" t="s">
        <v>16</v>
      </c>
      <c r="U44" s="9">
        <v>0</v>
      </c>
      <c r="V44" s="9">
        <f t="shared" si="5"/>
        <v>0</v>
      </c>
      <c r="W44" s="6" t="s">
        <v>73</v>
      </c>
      <c r="X44" s="52">
        <f>IF(V54&gt;X43,X43,V54)</f>
        <v>0</v>
      </c>
      <c r="Y44" s="134"/>
      <c r="Z44" s="30"/>
      <c r="AA44" s="31" t="str">
        <f>AA11</f>
        <v>Early Start</v>
      </c>
      <c r="AB44" s="31"/>
      <c r="AC44" s="49"/>
      <c r="AD44" s="50"/>
      <c r="AE44" s="50"/>
      <c r="AF44" s="50"/>
      <c r="AG44" s="51"/>
      <c r="AH44" s="45"/>
      <c r="AI44" s="33"/>
      <c r="AJ44" s="9">
        <f>AE11</f>
        <v>0.49999999999999956</v>
      </c>
      <c r="AK44" s="9">
        <f t="shared" ref="AK44:AK49" si="11">COUNTA(AC44:AG44)</f>
        <v>0</v>
      </c>
      <c r="AL44" s="9">
        <f t="shared" ref="AL44:AL50" si="12">AJ44*AK44</f>
        <v>0</v>
      </c>
      <c r="AM44" s="46">
        <v>0</v>
      </c>
      <c r="AN44" s="47">
        <f>ROUND(AF$18*AJ44*(1-AM44),2)</f>
        <v>4.26</v>
      </c>
      <c r="AO44" s="47">
        <f t="shared" ref="AO44:AO50" si="13">AN44/AJ44</f>
        <v>8.5200000000000067</v>
      </c>
      <c r="AP44" s="48">
        <f t="shared" si="6"/>
        <v>0</v>
      </c>
      <c r="AQ44" s="9">
        <v>0</v>
      </c>
      <c r="AR44" s="115" t="s">
        <v>16</v>
      </c>
      <c r="AS44" s="9">
        <v>0</v>
      </c>
      <c r="AT44" s="9">
        <f t="shared" si="7"/>
        <v>0</v>
      </c>
      <c r="AU44" s="6" t="s">
        <v>73</v>
      </c>
      <c r="AV44" s="52">
        <f>IF(AT54&gt;AV43,AV43,AT54)</f>
        <v>0</v>
      </c>
    </row>
    <row r="45" spans="2:48" ht="14.25" x14ac:dyDescent="0.2">
      <c r="B45" s="30"/>
      <c r="C45" s="31" t="str">
        <f>C12</f>
        <v>Morning</v>
      </c>
      <c r="D45" s="31"/>
      <c r="E45" s="42"/>
      <c r="F45" s="43"/>
      <c r="G45" s="43"/>
      <c r="H45" s="43"/>
      <c r="I45" s="44"/>
      <c r="J45" s="45"/>
      <c r="K45" s="33"/>
      <c r="L45" s="105">
        <f>G12</f>
        <v>4.7500000000000071</v>
      </c>
      <c r="M45" s="105">
        <f t="shared" si="8"/>
        <v>0</v>
      </c>
      <c r="N45" s="105">
        <f t="shared" si="9"/>
        <v>0</v>
      </c>
      <c r="O45" s="106">
        <v>0</v>
      </c>
      <c r="P45" s="107">
        <f>ROUND(H$18*L45*(1-O45),2)</f>
        <v>40.47</v>
      </c>
      <c r="Q45" s="107">
        <f t="shared" si="10"/>
        <v>8.5199999999999871</v>
      </c>
      <c r="R45" s="108">
        <f t="shared" si="4"/>
        <v>0</v>
      </c>
      <c r="S45" s="105">
        <f>IF(E$37=M$10,0,I12)</f>
        <v>0</v>
      </c>
      <c r="T45" s="116">
        <f>RANK(U45,U$45:U$48,1)</f>
        <v>1</v>
      </c>
      <c r="U45" s="109">
        <f>MIN(Q45,VLOOKUP(E$37,M$10:N$16,2,FALSE))</f>
        <v>0</v>
      </c>
      <c r="V45" s="105">
        <f t="shared" si="5"/>
        <v>0</v>
      </c>
      <c r="W45" s="6" t="s">
        <v>13</v>
      </c>
      <c r="X45" s="17">
        <f>V70</f>
        <v>0</v>
      </c>
      <c r="Y45" s="104"/>
      <c r="Z45" s="30"/>
      <c r="AA45" s="31" t="str">
        <f>AA12</f>
        <v>Morning</v>
      </c>
      <c r="AB45" s="31"/>
      <c r="AC45" s="42"/>
      <c r="AD45" s="43"/>
      <c r="AE45" s="43"/>
      <c r="AF45" s="43"/>
      <c r="AG45" s="44"/>
      <c r="AH45" s="45"/>
      <c r="AI45" s="33"/>
      <c r="AJ45" s="105">
        <f>AE12</f>
        <v>4.7500000000000071</v>
      </c>
      <c r="AK45" s="105">
        <f t="shared" si="11"/>
        <v>0</v>
      </c>
      <c r="AL45" s="105">
        <f t="shared" si="12"/>
        <v>0</v>
      </c>
      <c r="AM45" s="106">
        <v>0</v>
      </c>
      <c r="AN45" s="107">
        <f>ROUND(AF$18*AJ45*(1-AM45),2)</f>
        <v>40.47</v>
      </c>
      <c r="AO45" s="107">
        <f t="shared" si="13"/>
        <v>8.5199999999999871</v>
      </c>
      <c r="AP45" s="108">
        <f t="shared" si="6"/>
        <v>0</v>
      </c>
      <c r="AQ45" s="105">
        <f>IF(AC$37=AK$10,0,AG12)</f>
        <v>4</v>
      </c>
      <c r="AR45" s="116">
        <f>RANK(AS45,AS$45:AS$48,1)</f>
        <v>1</v>
      </c>
      <c r="AS45" s="109">
        <f>MIN(AO45,VLOOKUP(AC$37,AK$10:AL$16,2,FALSE))</f>
        <v>5.26</v>
      </c>
      <c r="AT45" s="105">
        <f t="shared" si="7"/>
        <v>0</v>
      </c>
      <c r="AU45" s="6" t="s">
        <v>13</v>
      </c>
      <c r="AV45" s="17">
        <f>AT70</f>
        <v>0</v>
      </c>
    </row>
    <row r="46" spans="2:48" ht="14.25" x14ac:dyDescent="0.2">
      <c r="B46" s="30"/>
      <c r="C46" s="31" t="str">
        <f>C13</f>
        <v>Afternoon</v>
      </c>
      <c r="D46" s="31"/>
      <c r="E46" s="53"/>
      <c r="F46" s="54"/>
      <c r="G46" s="54"/>
      <c r="H46" s="54"/>
      <c r="I46" s="55"/>
      <c r="J46" s="45"/>
      <c r="K46" s="33"/>
      <c r="L46" s="9">
        <f>G13</f>
        <v>4.5</v>
      </c>
      <c r="M46" s="9">
        <f t="shared" si="8"/>
        <v>0</v>
      </c>
      <c r="N46" s="9">
        <f t="shared" si="9"/>
        <v>0</v>
      </c>
      <c r="O46" s="110">
        <v>0</v>
      </c>
      <c r="P46" s="104">
        <f>ROUND(H$18*L46*(1-O46),2)</f>
        <v>38.340000000000003</v>
      </c>
      <c r="Q46" s="104">
        <f t="shared" si="10"/>
        <v>8.5200000000000014</v>
      </c>
      <c r="R46" s="48">
        <f t="shared" si="4"/>
        <v>0</v>
      </c>
      <c r="S46" s="9">
        <f>IF(E$37=M$10,0,I13)</f>
        <v>0</v>
      </c>
      <c r="T46" s="117">
        <f t="shared" ref="T46:T48" si="14">RANK(U46,U$45:U$48,1)</f>
        <v>1</v>
      </c>
      <c r="U46" s="111">
        <f>MIN(Q46,VLOOKUP(E$37,M$10:N$16,2,FALSE))</f>
        <v>0</v>
      </c>
      <c r="V46" s="9">
        <f t="shared" si="5"/>
        <v>0</v>
      </c>
      <c r="W46" s="6" t="s">
        <v>74</v>
      </c>
      <c r="X46" s="56">
        <f>IF(E35=M23,O23,O22)</f>
        <v>50.6</v>
      </c>
      <c r="Y46" s="25"/>
      <c r="Z46" s="30"/>
      <c r="AA46" s="31" t="str">
        <f>AA13</f>
        <v>Afternoon</v>
      </c>
      <c r="AB46" s="31"/>
      <c r="AC46" s="53"/>
      <c r="AD46" s="54"/>
      <c r="AE46" s="54"/>
      <c r="AF46" s="54"/>
      <c r="AG46" s="55"/>
      <c r="AH46" s="45"/>
      <c r="AI46" s="33"/>
      <c r="AJ46" s="9">
        <f>AE13</f>
        <v>4.5</v>
      </c>
      <c r="AK46" s="9">
        <f t="shared" si="11"/>
        <v>0</v>
      </c>
      <c r="AL46" s="9">
        <f t="shared" si="12"/>
        <v>0</v>
      </c>
      <c r="AM46" s="110">
        <v>0</v>
      </c>
      <c r="AN46" s="104">
        <f>ROUND(AF$18*AJ46*(1-AM46),2)</f>
        <v>38.340000000000003</v>
      </c>
      <c r="AO46" s="104">
        <f t="shared" si="13"/>
        <v>8.5200000000000014</v>
      </c>
      <c r="AP46" s="48">
        <f t="shared" si="6"/>
        <v>0</v>
      </c>
      <c r="AQ46" s="9">
        <f>IF(AC$37=AK$10,0,AG13)</f>
        <v>4</v>
      </c>
      <c r="AR46" s="117">
        <f t="shared" ref="AR46:AR48" si="15">RANK(AS46,AS$45:AS$48,1)</f>
        <v>1</v>
      </c>
      <c r="AS46" s="111">
        <f>MIN(AO46,VLOOKUP(AC$37,AK$10:AL$16,2,FALSE))</f>
        <v>5.26</v>
      </c>
      <c r="AT46" s="9">
        <f t="shared" si="7"/>
        <v>0</v>
      </c>
      <c r="AU46" s="6" t="s">
        <v>74</v>
      </c>
      <c r="AV46" s="56">
        <f>IF(AC35=AK23,AM23,AM22)</f>
        <v>50.6</v>
      </c>
    </row>
    <row r="47" spans="2:48" ht="14.25" x14ac:dyDescent="0.2">
      <c r="B47" s="30"/>
      <c r="C47" s="31" t="str">
        <f>C14</f>
        <v>School Day</v>
      </c>
      <c r="D47" s="31"/>
      <c r="E47" s="53"/>
      <c r="F47" s="54"/>
      <c r="G47" s="54"/>
      <c r="H47" s="54"/>
      <c r="I47" s="55"/>
      <c r="J47" s="45"/>
      <c r="K47" s="33"/>
      <c r="L47" s="9">
        <f>G14</f>
        <v>7.7500000000000071</v>
      </c>
      <c r="M47" s="9">
        <f t="shared" si="8"/>
        <v>0</v>
      </c>
      <c r="N47" s="9">
        <f t="shared" si="9"/>
        <v>0</v>
      </c>
      <c r="O47" s="131">
        <f>IF(M47=5,0.1,0)</f>
        <v>0</v>
      </c>
      <c r="P47" s="128">
        <f>IF(E$39=O$19,(ROUND(P$18*L47*(1-O47),2))*(1-H$20),ROUND(P$18*L47*(1-O47),2))</f>
        <v>66.03</v>
      </c>
      <c r="Q47" s="104">
        <f t="shared" si="10"/>
        <v>8.5199999999999925</v>
      </c>
      <c r="R47" s="48">
        <f t="shared" si="4"/>
        <v>0</v>
      </c>
      <c r="S47" s="9">
        <f>IF(E$37=M$10,0,I14)</f>
        <v>0</v>
      </c>
      <c r="T47" s="117">
        <f t="shared" si="14"/>
        <v>1</v>
      </c>
      <c r="U47" s="111">
        <f>MIN(Q47,VLOOKUP(E$37,M$10:N$16,2,FALSE))</f>
        <v>0</v>
      </c>
      <c r="V47" s="9">
        <f t="shared" si="5"/>
        <v>0</v>
      </c>
      <c r="W47" s="6" t="s">
        <v>75</v>
      </c>
      <c r="X47" s="16">
        <f>X44*X46</f>
        <v>0</v>
      </c>
      <c r="Y47" s="9"/>
      <c r="Z47" s="30"/>
      <c r="AA47" s="31" t="str">
        <f>AA14</f>
        <v>School Day</v>
      </c>
      <c r="AB47" s="31"/>
      <c r="AC47" s="53"/>
      <c r="AD47" s="54"/>
      <c r="AE47" s="54"/>
      <c r="AF47" s="54"/>
      <c r="AG47" s="55"/>
      <c r="AH47" s="45"/>
      <c r="AI47" s="33"/>
      <c r="AJ47" s="9">
        <f>AE14</f>
        <v>7.7500000000000071</v>
      </c>
      <c r="AK47" s="9">
        <f t="shared" si="11"/>
        <v>0</v>
      </c>
      <c r="AL47" s="9">
        <f t="shared" si="12"/>
        <v>0</v>
      </c>
      <c r="AM47" s="131">
        <f>IF(AK47=5,0.1,0)</f>
        <v>0</v>
      </c>
      <c r="AN47" s="128">
        <f>IF(AC$39=AM$19,(ROUND(AN$18*AJ47*(1-AM47),2))*(1-AF$20),ROUND(AN$18*AJ47*(1-AM47),2))</f>
        <v>66.03</v>
      </c>
      <c r="AO47" s="104">
        <f t="shared" si="13"/>
        <v>8.5199999999999925</v>
      </c>
      <c r="AP47" s="48">
        <f t="shared" si="6"/>
        <v>0</v>
      </c>
      <c r="AQ47" s="9">
        <f>IF(AC$37=AK$10,0,AG14)</f>
        <v>7</v>
      </c>
      <c r="AR47" s="117">
        <f t="shared" si="15"/>
        <v>1</v>
      </c>
      <c r="AS47" s="111">
        <f>MIN(AO47,VLOOKUP(AC$37,AK$10:AL$16,2,FALSE))</f>
        <v>5.26</v>
      </c>
      <c r="AT47" s="9">
        <f t="shared" si="7"/>
        <v>0</v>
      </c>
      <c r="AU47" s="6" t="s">
        <v>75</v>
      </c>
      <c r="AV47" s="16">
        <f>AV44*AV46</f>
        <v>0</v>
      </c>
    </row>
    <row r="48" spans="2:48" ht="15" thickBot="1" x14ac:dyDescent="0.25">
      <c r="B48" s="30"/>
      <c r="C48" s="31" t="str">
        <f>C15</f>
        <v>Full Day</v>
      </c>
      <c r="D48" s="31"/>
      <c r="E48" s="57"/>
      <c r="F48" s="58"/>
      <c r="G48" s="58"/>
      <c r="H48" s="58"/>
      <c r="I48" s="59"/>
      <c r="J48" s="45"/>
      <c r="K48" s="60"/>
      <c r="L48" s="20">
        <f>G15</f>
        <v>9.2500000000000071</v>
      </c>
      <c r="M48" s="20">
        <f t="shared" si="8"/>
        <v>0</v>
      </c>
      <c r="N48" s="20">
        <f>L48*M48</f>
        <v>0</v>
      </c>
      <c r="O48" s="132">
        <f>IF(M48=5,0.15,0.08)</f>
        <v>0.08</v>
      </c>
      <c r="P48" s="129">
        <f>IF(E$39=O$19,(ROUND(P$18*L48*(1-O48),2))*(1-H$20),ROUND(P$18*L48*(1-O48),2))</f>
        <v>72.510000000000005</v>
      </c>
      <c r="Q48" s="112">
        <f t="shared" si="10"/>
        <v>7.838918918918913</v>
      </c>
      <c r="R48" s="113">
        <f t="shared" si="4"/>
        <v>0</v>
      </c>
      <c r="S48" s="20">
        <f>IF(E$37=M$10,0,I15)</f>
        <v>0</v>
      </c>
      <c r="T48" s="118">
        <f t="shared" si="14"/>
        <v>1</v>
      </c>
      <c r="U48" s="114">
        <f>MIN(Q48,VLOOKUP(E$37,M$10:N$16,2,FALSE))</f>
        <v>0</v>
      </c>
      <c r="V48" s="20">
        <f t="shared" si="5"/>
        <v>0</v>
      </c>
      <c r="W48" s="6" t="s">
        <v>76</v>
      </c>
      <c r="X48" s="61">
        <f>X47*X45</f>
        <v>0</v>
      </c>
      <c r="Y48" s="48"/>
      <c r="Z48" s="30"/>
      <c r="AA48" s="31" t="str">
        <f>AA15</f>
        <v>Full Day</v>
      </c>
      <c r="AB48" s="31"/>
      <c r="AC48" s="57"/>
      <c r="AD48" s="58"/>
      <c r="AE48" s="58"/>
      <c r="AF48" s="58"/>
      <c r="AG48" s="59"/>
      <c r="AH48" s="45"/>
      <c r="AI48" s="60"/>
      <c r="AJ48" s="20">
        <f>AE15</f>
        <v>9.2500000000000071</v>
      </c>
      <c r="AK48" s="20">
        <f t="shared" si="11"/>
        <v>0</v>
      </c>
      <c r="AL48" s="20">
        <f>AJ48*AK48</f>
        <v>0</v>
      </c>
      <c r="AM48" s="132">
        <f>IF(AK48=5,0.15,0.08)</f>
        <v>0.08</v>
      </c>
      <c r="AN48" s="129">
        <f>IF(AC$39=AM$19,(ROUND(AN$18*AJ48*(1-AM48),2))*(1-AF$20),ROUND(AN$18*AJ48*(1-AM48),2))</f>
        <v>72.510000000000005</v>
      </c>
      <c r="AO48" s="112">
        <f t="shared" si="13"/>
        <v>7.838918918918913</v>
      </c>
      <c r="AP48" s="113">
        <f t="shared" si="6"/>
        <v>0</v>
      </c>
      <c r="AQ48" s="20">
        <f>IF(AC$37=AK$10,0,AG15)</f>
        <v>8</v>
      </c>
      <c r="AR48" s="118">
        <f t="shared" si="15"/>
        <v>1</v>
      </c>
      <c r="AS48" s="114">
        <f>MIN(AO48,VLOOKUP(AC$37,AK$10:AL$16,2,FALSE))</f>
        <v>5.26</v>
      </c>
      <c r="AT48" s="20">
        <f t="shared" si="7"/>
        <v>0</v>
      </c>
      <c r="AU48" s="6" t="s">
        <v>76</v>
      </c>
      <c r="AV48" s="61">
        <f>AV47*AV45</f>
        <v>0</v>
      </c>
    </row>
    <row r="49" spans="2:48" ht="14.25" x14ac:dyDescent="0.2">
      <c r="B49" s="30"/>
      <c r="C49" s="31" t="str">
        <f>C16</f>
        <v>Late Finish</v>
      </c>
      <c r="D49" s="31"/>
      <c r="E49" s="62"/>
      <c r="F49" s="63"/>
      <c r="G49" s="63"/>
      <c r="H49" s="63"/>
      <c r="I49" s="64"/>
      <c r="J49" s="45"/>
      <c r="K49" s="33"/>
      <c r="L49" s="9">
        <f>G16</f>
        <v>0.49999999999999289</v>
      </c>
      <c r="M49" s="9">
        <f t="shared" si="8"/>
        <v>0</v>
      </c>
      <c r="N49" s="9">
        <f>L49*M49</f>
        <v>0</v>
      </c>
      <c r="O49" s="46">
        <v>0</v>
      </c>
      <c r="P49" s="47">
        <f>ROUND(H$18*L49*(1-O49),2)</f>
        <v>4.26</v>
      </c>
      <c r="Q49" s="47">
        <f t="shared" si="10"/>
        <v>8.5200000000001204</v>
      </c>
      <c r="R49" s="48">
        <f t="shared" si="4"/>
        <v>0</v>
      </c>
      <c r="S49" s="9">
        <v>0</v>
      </c>
      <c r="T49" s="115" t="s">
        <v>16</v>
      </c>
      <c r="U49" s="9">
        <v>0</v>
      </c>
      <c r="V49" s="9">
        <f t="shared" si="5"/>
        <v>0</v>
      </c>
      <c r="W49" s="6" t="s">
        <v>41</v>
      </c>
      <c r="X49" s="16">
        <f>IF(E35=M22,Q22,Q23)</f>
        <v>51</v>
      </c>
      <c r="Y49" s="9"/>
      <c r="Z49" s="30"/>
      <c r="AA49" s="31" t="str">
        <f>AA16</f>
        <v>Late Finish</v>
      </c>
      <c r="AB49" s="31"/>
      <c r="AC49" s="62"/>
      <c r="AD49" s="63"/>
      <c r="AE49" s="63"/>
      <c r="AF49" s="63"/>
      <c r="AG49" s="64"/>
      <c r="AH49" s="45"/>
      <c r="AI49" s="33"/>
      <c r="AJ49" s="9">
        <f>AE16</f>
        <v>0.49999999999999289</v>
      </c>
      <c r="AK49" s="9">
        <f t="shared" si="11"/>
        <v>0</v>
      </c>
      <c r="AL49" s="9">
        <f>AJ49*AK49</f>
        <v>0</v>
      </c>
      <c r="AM49" s="46">
        <v>0</v>
      </c>
      <c r="AN49" s="47">
        <f>ROUND(AF$18*AJ49*(1-AM49),2)</f>
        <v>4.26</v>
      </c>
      <c r="AO49" s="47">
        <f t="shared" si="13"/>
        <v>8.5200000000001204</v>
      </c>
      <c r="AP49" s="48">
        <f t="shared" si="6"/>
        <v>0</v>
      </c>
      <c r="AQ49" s="9">
        <v>0</v>
      </c>
      <c r="AR49" s="115" t="s">
        <v>16</v>
      </c>
      <c r="AS49" s="9">
        <v>0</v>
      </c>
      <c r="AT49" s="9">
        <f t="shared" si="7"/>
        <v>0</v>
      </c>
      <c r="AU49" s="6" t="s">
        <v>41</v>
      </c>
      <c r="AV49" s="16">
        <f>IF(AC35=AK22,AO22,AO23)</f>
        <v>51</v>
      </c>
    </row>
    <row r="50" spans="2:48" ht="15" thickBot="1" x14ac:dyDescent="0.25">
      <c r="B50" s="30"/>
      <c r="C50" s="31" t="str">
        <f>C17</f>
        <v>Sunset</v>
      </c>
      <c r="D50" s="31"/>
      <c r="E50" s="57"/>
      <c r="F50" s="58"/>
      <c r="G50" s="58"/>
      <c r="H50" s="58"/>
      <c r="I50" s="59"/>
      <c r="J50" s="45"/>
      <c r="K50" s="33"/>
      <c r="L50" s="9">
        <f>G17</f>
        <v>1.5</v>
      </c>
      <c r="M50" s="9">
        <f>IF(E33=M18,COUNTA(E50:I50),0)</f>
        <v>0</v>
      </c>
      <c r="N50" s="9">
        <f t="shared" si="9"/>
        <v>0</v>
      </c>
      <c r="O50" s="46">
        <v>0</v>
      </c>
      <c r="P50" s="47">
        <f>ROUND(H$18*L50*(1-O50),2)</f>
        <v>12.78</v>
      </c>
      <c r="Q50" s="47">
        <f t="shared" si="10"/>
        <v>8.52</v>
      </c>
      <c r="R50" s="48">
        <f t="shared" si="4"/>
        <v>0</v>
      </c>
      <c r="S50" s="9">
        <v>0</v>
      </c>
      <c r="T50" s="115" t="s">
        <v>16</v>
      </c>
      <c r="U50" s="9">
        <v>0</v>
      </c>
      <c r="V50" s="9">
        <f t="shared" si="5"/>
        <v>0</v>
      </c>
      <c r="W50" s="6" t="s">
        <v>77</v>
      </c>
      <c r="X50" s="61">
        <f>R54*X49</f>
        <v>0</v>
      </c>
      <c r="Y50" s="48"/>
      <c r="Z50" s="30"/>
      <c r="AA50" s="31" t="str">
        <f>AA17</f>
        <v>Sunset</v>
      </c>
      <c r="AB50" s="31"/>
      <c r="AC50" s="57"/>
      <c r="AD50" s="58"/>
      <c r="AE50" s="58"/>
      <c r="AF50" s="58"/>
      <c r="AG50" s="59"/>
      <c r="AH50" s="45"/>
      <c r="AI50" s="33"/>
      <c r="AJ50" s="9">
        <f>AE17</f>
        <v>1.5</v>
      </c>
      <c r="AK50" s="9">
        <f>IF(AC33=AK18,COUNTA(AC50:AG50),0)</f>
        <v>0</v>
      </c>
      <c r="AL50" s="9">
        <f t="shared" ref="AL50:AL56" si="16">AJ50*AK50</f>
        <v>0</v>
      </c>
      <c r="AM50" s="46">
        <v>0</v>
      </c>
      <c r="AN50" s="47">
        <f>ROUND(AF$18*AJ50*(1-AM50),2)</f>
        <v>12.78</v>
      </c>
      <c r="AO50" s="47">
        <f t="shared" si="13"/>
        <v>8.52</v>
      </c>
      <c r="AP50" s="48">
        <f t="shared" si="6"/>
        <v>0</v>
      </c>
      <c r="AQ50" s="9">
        <v>0</v>
      </c>
      <c r="AR50" s="115" t="s">
        <v>16</v>
      </c>
      <c r="AS50" s="9">
        <v>0</v>
      </c>
      <c r="AT50" s="9">
        <f t="shared" si="7"/>
        <v>0</v>
      </c>
      <c r="AU50" s="6" t="s">
        <v>77</v>
      </c>
      <c r="AV50" s="61">
        <f>AP54*AV49</f>
        <v>0</v>
      </c>
    </row>
    <row r="51" spans="2:48" ht="7.5" customHeight="1" thickBot="1" x14ac:dyDescent="0.25">
      <c r="B51" s="30"/>
      <c r="C51" s="31"/>
      <c r="D51" s="31"/>
      <c r="E51" s="33"/>
      <c r="F51" s="33"/>
      <c r="G51" s="33"/>
      <c r="H51" s="33"/>
      <c r="I51" s="33"/>
      <c r="J51" s="45"/>
      <c r="K51" s="33"/>
      <c r="O51" s="46"/>
      <c r="P51" s="47"/>
      <c r="Q51" s="47"/>
      <c r="R51" s="48"/>
      <c r="S51" s="9"/>
      <c r="T51" s="115"/>
      <c r="U51" s="9"/>
      <c r="V51" s="9"/>
      <c r="W51" s="6"/>
      <c r="X51" s="48"/>
      <c r="Y51" s="48"/>
      <c r="Z51" s="30"/>
      <c r="AA51" s="31"/>
      <c r="AB51" s="31"/>
      <c r="AC51" s="33"/>
      <c r="AD51" s="33"/>
      <c r="AE51" s="33"/>
      <c r="AF51" s="33"/>
      <c r="AG51" s="33"/>
      <c r="AH51" s="45"/>
      <c r="AI51" s="33"/>
      <c r="AM51" s="46"/>
      <c r="AN51" s="47"/>
      <c r="AO51" s="47"/>
      <c r="AP51" s="48"/>
      <c r="AQ51" s="9"/>
      <c r="AR51" s="115"/>
      <c r="AS51" s="9"/>
      <c r="AT51" s="9"/>
      <c r="AU51" s="6"/>
      <c r="AV51" s="48"/>
    </row>
    <row r="52" spans="2:48" ht="15" thickBot="1" x14ac:dyDescent="0.25">
      <c r="B52" s="30"/>
      <c r="C52" s="31" t="s">
        <v>18</v>
      </c>
      <c r="D52" s="31"/>
      <c r="E52" s="65"/>
      <c r="F52" s="66"/>
      <c r="G52" s="66"/>
      <c r="H52" s="66"/>
      <c r="I52" s="67"/>
      <c r="J52" s="45"/>
      <c r="K52" s="33"/>
      <c r="L52" s="9">
        <v>0</v>
      </c>
      <c r="M52" s="9">
        <f>COUNTA(E52:I52)</f>
        <v>0</v>
      </c>
      <c r="O52" s="46"/>
      <c r="P52" s="47">
        <f>H19</f>
        <v>3.73</v>
      </c>
      <c r="Q52" s="47"/>
      <c r="R52" s="48">
        <f>M52*P52</f>
        <v>0</v>
      </c>
      <c r="S52" s="9">
        <v>0</v>
      </c>
      <c r="T52" s="115" t="s">
        <v>16</v>
      </c>
      <c r="U52" s="9">
        <v>0</v>
      </c>
      <c r="V52" s="9">
        <v>0</v>
      </c>
      <c r="W52" s="6" t="s">
        <v>78</v>
      </c>
      <c r="X52" s="68">
        <f>X50-X48</f>
        <v>0</v>
      </c>
      <c r="Y52" s="135"/>
      <c r="Z52" s="30"/>
      <c r="AA52" s="31" t="s">
        <v>18</v>
      </c>
      <c r="AB52" s="31"/>
      <c r="AC52" s="65"/>
      <c r="AD52" s="66"/>
      <c r="AE52" s="66"/>
      <c r="AF52" s="66"/>
      <c r="AG52" s="67"/>
      <c r="AH52" s="45"/>
      <c r="AI52" s="33"/>
      <c r="AJ52" s="9">
        <v>0</v>
      </c>
      <c r="AK52" s="9">
        <f>COUNTA(AC52:AG52)</f>
        <v>0</v>
      </c>
      <c r="AM52" s="46"/>
      <c r="AN52" s="47">
        <f>AF19</f>
        <v>3.73</v>
      </c>
      <c r="AO52" s="47"/>
      <c r="AP52" s="48">
        <f>AK52*AN52</f>
        <v>0</v>
      </c>
      <c r="AQ52" s="9">
        <v>0</v>
      </c>
      <c r="AR52" s="115" t="s">
        <v>16</v>
      </c>
      <c r="AS52" s="9">
        <v>0</v>
      </c>
      <c r="AT52" s="9">
        <v>0</v>
      </c>
      <c r="AU52" s="6" t="s">
        <v>78</v>
      </c>
      <c r="AV52" s="68">
        <f>AV50-AV48</f>
        <v>0</v>
      </c>
    </row>
    <row r="53" spans="2:48" ht="7.5" customHeight="1" x14ac:dyDescent="0.2">
      <c r="B53" s="30"/>
      <c r="C53" s="31"/>
      <c r="D53" s="31"/>
      <c r="E53" s="33"/>
      <c r="F53" s="33"/>
      <c r="G53" s="33"/>
      <c r="H53" s="33"/>
      <c r="I53" s="33"/>
      <c r="J53" s="45"/>
      <c r="K53" s="33"/>
      <c r="O53" s="46"/>
      <c r="P53" s="47"/>
      <c r="Q53" s="47"/>
      <c r="R53" s="48"/>
      <c r="S53" s="9"/>
      <c r="T53" s="9"/>
      <c r="U53" s="9"/>
      <c r="V53" s="9"/>
      <c r="Z53" s="30"/>
      <c r="AA53" s="31"/>
      <c r="AB53" s="31"/>
      <c r="AC53" s="33"/>
      <c r="AD53" s="33"/>
      <c r="AE53" s="33"/>
      <c r="AF53" s="33"/>
      <c r="AG53" s="33"/>
      <c r="AH53" s="45"/>
      <c r="AI53" s="33"/>
      <c r="AM53" s="46"/>
      <c r="AN53" s="47"/>
      <c r="AO53" s="47"/>
      <c r="AP53" s="48"/>
      <c r="AQ53" s="9"/>
      <c r="AR53" s="9"/>
      <c r="AS53" s="9"/>
      <c r="AT53" s="9"/>
    </row>
    <row r="54" spans="2:48" ht="15" x14ac:dyDescent="0.25">
      <c r="B54" s="30"/>
      <c r="C54" s="143" t="str">
        <f>IF(OR(K27&gt;0,K28&gt;0),M28,IF(K29&gt;0,M29,IF(K24="Y",M26,IF(OR(K23="Y",K25="Y",K26="Y"),M27,""))))</f>
        <v/>
      </c>
      <c r="D54" s="143"/>
      <c r="E54" s="143"/>
      <c r="F54" s="143"/>
      <c r="G54" s="143"/>
      <c r="H54" s="143"/>
      <c r="I54" s="143"/>
      <c r="J54" s="36"/>
      <c r="M54" s="69">
        <f>SUM(M43:M50)</f>
        <v>0</v>
      </c>
      <c r="N54" s="69">
        <f>SUM(N43:N50)</f>
        <v>0</v>
      </c>
      <c r="O54" s="69"/>
      <c r="P54" s="70"/>
      <c r="Q54" s="70"/>
      <c r="R54" s="71">
        <f>SUM(R43:R52)</f>
        <v>0</v>
      </c>
      <c r="S54" s="69"/>
      <c r="T54" s="69"/>
      <c r="U54" s="69"/>
      <c r="V54" s="69">
        <f>SUM(V43:V50)</f>
        <v>0</v>
      </c>
      <c r="W54" s="6" t="s">
        <v>79</v>
      </c>
      <c r="X54" s="61">
        <f>ROUND(X52/X60,2)</f>
        <v>0</v>
      </c>
      <c r="Y54"/>
      <c r="Z54" s="30"/>
      <c r="AA54" s="143" t="str">
        <f>IF(OR(AI27&gt;0,AI28&gt;0),AK28,IF(AI29&gt;0,AK29,IF(AI24="Y",AK26,IF(OR(AI23="Y",AI25="Y",AI26="Y"),AK27,""))))</f>
        <v/>
      </c>
      <c r="AB54" s="143"/>
      <c r="AC54" s="143"/>
      <c r="AD54" s="143"/>
      <c r="AE54" s="143"/>
      <c r="AF54" s="143"/>
      <c r="AG54" s="143"/>
      <c r="AH54" s="36"/>
      <c r="AK54" s="69">
        <f>SUM(AK43:AK50)</f>
        <v>0</v>
      </c>
      <c r="AL54" s="69">
        <f>SUM(AL43:AL50)</f>
        <v>0</v>
      </c>
      <c r="AM54" s="69"/>
      <c r="AN54" s="70"/>
      <c r="AO54" s="70"/>
      <c r="AP54" s="71">
        <f>SUM(AP43:AP52)</f>
        <v>0</v>
      </c>
      <c r="AQ54" s="69"/>
      <c r="AR54" s="69"/>
      <c r="AS54" s="69"/>
      <c r="AT54" s="69">
        <f>SUM(AT43:AT50)</f>
        <v>0</v>
      </c>
      <c r="AU54" s="6" t="s">
        <v>79</v>
      </c>
      <c r="AV54" s="61">
        <f>ROUND(AV52/AV60,2)</f>
        <v>0</v>
      </c>
    </row>
    <row r="55" spans="2:48" ht="7.5" customHeight="1" x14ac:dyDescent="0.2">
      <c r="B55" s="30"/>
      <c r="J55" s="36"/>
      <c r="R55" s="48"/>
      <c r="S55" s="9"/>
      <c r="T55" s="9"/>
      <c r="U55" s="9"/>
      <c r="V55" s="9"/>
      <c r="Z55" s="30"/>
      <c r="AH55" s="36"/>
      <c r="AP55" s="48"/>
      <c r="AQ55" s="9"/>
      <c r="AR55" s="9"/>
      <c r="AS55" s="9"/>
      <c r="AT55" s="9"/>
    </row>
    <row r="56" spans="2:48" ht="7.5" customHeight="1" x14ac:dyDescent="0.2">
      <c r="B56" s="30"/>
      <c r="C56" s="90"/>
      <c r="D56" s="90"/>
      <c r="E56" s="91"/>
      <c r="F56" s="91"/>
      <c r="G56" s="91"/>
      <c r="H56" s="91"/>
      <c r="I56" s="91"/>
      <c r="J56" s="36"/>
      <c r="R56" s="48"/>
      <c r="Z56" s="30"/>
      <c r="AA56" s="90"/>
      <c r="AB56" s="90"/>
      <c r="AC56" s="91"/>
      <c r="AD56" s="91"/>
      <c r="AE56" s="91"/>
      <c r="AF56" s="91"/>
      <c r="AG56" s="91"/>
      <c r="AH56" s="36"/>
      <c r="AP56" s="48"/>
    </row>
    <row r="57" spans="2:48" ht="15" x14ac:dyDescent="0.25">
      <c r="B57" s="30"/>
      <c r="C57" s="145" t="str">
        <f>"Your weekly childcare costs will be £"&amp;TEXT(X57,"0.00")&amp;"*"</f>
        <v>Your weekly childcare costs will be £0.00*</v>
      </c>
      <c r="D57" s="145"/>
      <c r="E57" s="145"/>
      <c r="F57" s="145"/>
      <c r="G57" s="145"/>
      <c r="H57" s="145"/>
      <c r="I57" s="145"/>
      <c r="J57" s="72"/>
      <c r="K57" s="9"/>
      <c r="M57" s="130"/>
      <c r="N57" s="22" t="s">
        <v>93</v>
      </c>
      <c r="W57" s="6" t="s">
        <v>12</v>
      </c>
      <c r="X57" s="61">
        <f>ROUND(R54-(X45*X44),2)</f>
        <v>0</v>
      </c>
      <c r="Y57" s="48"/>
      <c r="Z57" s="30"/>
      <c r="AA57" s="145" t="str">
        <f>"Your weekly childcare costs will be £"&amp;TEXT(AV57,"0.00")&amp;"*"</f>
        <v>Your weekly childcare costs will be £0.00*</v>
      </c>
      <c r="AB57" s="145"/>
      <c r="AC57" s="145"/>
      <c r="AD57" s="145"/>
      <c r="AE57" s="145"/>
      <c r="AF57" s="145"/>
      <c r="AG57" s="145"/>
      <c r="AH57" s="72"/>
      <c r="AI57" s="9"/>
      <c r="AK57" s="130"/>
      <c r="AL57" s="22" t="s">
        <v>93</v>
      </c>
      <c r="AU57" s="6" t="s">
        <v>12</v>
      </c>
      <c r="AV57" s="61">
        <f>ROUND(AP54-(AV45*AV44),2)</f>
        <v>0</v>
      </c>
    </row>
    <row r="58" spans="2:48" ht="15" x14ac:dyDescent="0.25">
      <c r="B58" s="30"/>
      <c r="C58" s="146" t="str">
        <f>"Your average monthly childcare costs will be £"&amp;TEXT(X54,"0.00")&amp;"*"</f>
        <v>Your average monthly childcare costs will be £0.00*</v>
      </c>
      <c r="D58" s="146"/>
      <c r="E58" s="146"/>
      <c r="F58" s="146"/>
      <c r="G58" s="146"/>
      <c r="H58" s="146"/>
      <c r="I58" s="146"/>
      <c r="J58" s="73"/>
      <c r="K58" s="9"/>
      <c r="P58" s="9"/>
      <c r="Q58" s="9"/>
      <c r="Z58" s="30"/>
      <c r="AA58" s="146" t="str">
        <f>"Your average monthly childcare costs will be £"&amp;TEXT(AV54,"0.00")&amp;"*"</f>
        <v>Your average monthly childcare costs will be £0.00*</v>
      </c>
      <c r="AB58" s="146"/>
      <c r="AC58" s="146"/>
      <c r="AD58" s="146"/>
      <c r="AE58" s="146"/>
      <c r="AF58" s="146"/>
      <c r="AG58" s="146"/>
      <c r="AH58" s="73"/>
      <c r="AI58" s="9"/>
      <c r="AN58" s="9"/>
      <c r="AO58" s="9"/>
    </row>
    <row r="59" spans="2:48" ht="7.5" customHeight="1" x14ac:dyDescent="0.2">
      <c r="B59" s="30"/>
      <c r="C59" s="91"/>
      <c r="D59" s="91"/>
      <c r="E59" s="91"/>
      <c r="F59" s="91"/>
      <c r="G59" s="91"/>
      <c r="H59" s="91"/>
      <c r="I59" s="91"/>
      <c r="J59" s="36"/>
      <c r="K59" s="9"/>
      <c r="P59" s="9"/>
      <c r="Q59" s="9"/>
      <c r="Z59" s="30"/>
      <c r="AA59" s="91"/>
      <c r="AB59" s="91"/>
      <c r="AC59" s="91"/>
      <c r="AD59" s="91"/>
      <c r="AE59" s="91"/>
      <c r="AF59" s="91"/>
      <c r="AG59" s="91"/>
      <c r="AH59" s="36"/>
      <c r="AI59" s="9"/>
      <c r="AN59" s="9"/>
      <c r="AO59" s="9"/>
    </row>
    <row r="60" spans="2:48" ht="15" x14ac:dyDescent="0.25">
      <c r="B60" s="30"/>
      <c r="C60" s="146" t="str">
        <f>IF(E37=M10,M37,M35)</f>
        <v>You are not claiming any funding</v>
      </c>
      <c r="D60" s="146"/>
      <c r="E60" s="146"/>
      <c r="F60" s="146"/>
      <c r="G60" s="146"/>
      <c r="H60" s="146"/>
      <c r="I60" s="146"/>
      <c r="J60" s="73"/>
      <c r="P60" s="9"/>
      <c r="Q60" s="9"/>
      <c r="W60" s="6" t="s">
        <v>118</v>
      </c>
      <c r="X60" s="16">
        <v>12</v>
      </c>
      <c r="Z60" s="30"/>
      <c r="AA60" s="146" t="str">
        <f>IF(AC37=AK10,AK37,AK35)</f>
        <v>You will be claiming 0hrs of funding/week over 50.6wks.</v>
      </c>
      <c r="AB60" s="146"/>
      <c r="AC60" s="146"/>
      <c r="AD60" s="146"/>
      <c r="AE60" s="146"/>
      <c r="AF60" s="146"/>
      <c r="AG60" s="146"/>
      <c r="AH60" s="73"/>
      <c r="AN60" s="9"/>
      <c r="AO60" s="9"/>
      <c r="AU60" s="6" t="s">
        <v>118</v>
      </c>
      <c r="AV60" s="16">
        <v>12</v>
      </c>
    </row>
    <row r="61" spans="2:48" ht="7.5" customHeight="1" x14ac:dyDescent="0.25">
      <c r="B61" s="30"/>
      <c r="C61" s="92"/>
      <c r="D61" s="92"/>
      <c r="E61" s="92"/>
      <c r="F61" s="92"/>
      <c r="G61" s="92"/>
      <c r="H61" s="92"/>
      <c r="I61" s="92"/>
      <c r="J61" s="73"/>
      <c r="P61" s="9"/>
      <c r="Q61" s="9"/>
      <c r="Z61" s="30"/>
      <c r="AA61" s="92"/>
      <c r="AB61" s="92"/>
      <c r="AC61" s="92"/>
      <c r="AD61" s="92"/>
      <c r="AE61" s="92"/>
      <c r="AF61" s="92"/>
      <c r="AG61" s="92"/>
      <c r="AH61" s="73"/>
      <c r="AN61" s="9"/>
      <c r="AO61" s="9"/>
    </row>
    <row r="62" spans="2:48" ht="22.5" customHeight="1" x14ac:dyDescent="0.2">
      <c r="B62" s="30"/>
      <c r="C62" s="5"/>
      <c r="D62" s="5"/>
      <c r="J62" s="36"/>
      <c r="P62" s="9"/>
      <c r="R62" s="166" t="s">
        <v>100</v>
      </c>
      <c r="S62" s="166"/>
      <c r="T62" s="166"/>
      <c r="U62" s="166"/>
      <c r="Z62" s="30"/>
      <c r="AA62" s="5"/>
      <c r="AB62" s="5"/>
      <c r="AH62" s="36"/>
      <c r="AN62" s="9"/>
      <c r="AP62" s="166" t="s">
        <v>100</v>
      </c>
      <c r="AQ62" s="166"/>
      <c r="AR62" s="166"/>
      <c r="AS62" s="166"/>
    </row>
    <row r="63" spans="2:48" ht="13.5" customHeight="1" x14ac:dyDescent="0.2">
      <c r="B63" s="30"/>
      <c r="C63" s="148" t="s">
        <v>80</v>
      </c>
      <c r="D63" s="148"/>
      <c r="E63" s="148"/>
      <c r="F63" s="148"/>
      <c r="G63" s="148"/>
      <c r="H63" s="148"/>
      <c r="I63" s="148"/>
      <c r="J63" s="41"/>
      <c r="M63" s="21" t="s">
        <v>119</v>
      </c>
      <c r="N63" s="21" t="s">
        <v>120</v>
      </c>
      <c r="O63" s="21" t="s">
        <v>121</v>
      </c>
      <c r="P63" s="9"/>
      <c r="R63" s="21" t="s">
        <v>97</v>
      </c>
      <c r="S63" s="21" t="s">
        <v>98</v>
      </c>
      <c r="T63" s="21" t="s">
        <v>88</v>
      </c>
      <c r="U63" s="21" t="s">
        <v>99</v>
      </c>
      <c r="V63" s="21" t="s">
        <v>101</v>
      </c>
      <c r="Z63" s="30"/>
      <c r="AA63" s="148" t="s">
        <v>80</v>
      </c>
      <c r="AB63" s="148"/>
      <c r="AC63" s="148"/>
      <c r="AD63" s="148"/>
      <c r="AE63" s="148"/>
      <c r="AF63" s="148"/>
      <c r="AG63" s="148"/>
      <c r="AH63" s="41"/>
      <c r="AK63" s="167"/>
      <c r="AL63" s="167"/>
      <c r="AM63" s="167"/>
      <c r="AN63" s="167"/>
      <c r="AP63" s="21" t="s">
        <v>97</v>
      </c>
      <c r="AQ63" s="21" t="s">
        <v>98</v>
      </c>
      <c r="AR63" s="21" t="s">
        <v>88</v>
      </c>
      <c r="AS63" s="21" t="s">
        <v>99</v>
      </c>
      <c r="AT63" s="21" t="s">
        <v>101</v>
      </c>
    </row>
    <row r="64" spans="2:48" ht="6" customHeight="1" x14ac:dyDescent="0.2">
      <c r="B64" s="30"/>
      <c r="C64" s="74"/>
      <c r="D64" s="74"/>
      <c r="E64" s="74"/>
      <c r="F64" s="74"/>
      <c r="G64" s="74"/>
      <c r="H64" s="74"/>
      <c r="I64" s="74"/>
      <c r="J64" s="41"/>
      <c r="P64" s="9"/>
      <c r="R64" s="9"/>
      <c r="Z64" s="30"/>
      <c r="AA64" s="74"/>
      <c r="AB64" s="74"/>
      <c r="AC64" s="74"/>
      <c r="AD64" s="74"/>
      <c r="AE64" s="74"/>
      <c r="AF64" s="74"/>
      <c r="AG64" s="74"/>
      <c r="AH64" s="41"/>
      <c r="AK64" s="167"/>
      <c r="AL64" s="167"/>
      <c r="AM64" s="167"/>
      <c r="AN64" s="167"/>
      <c r="AP64" s="9"/>
    </row>
    <row r="65" spans="2:48" ht="13.5" customHeight="1" x14ac:dyDescent="0.2">
      <c r="B65" s="75" t="s">
        <v>81</v>
      </c>
      <c r="C65" s="142" t="s">
        <v>82</v>
      </c>
      <c r="D65" s="142"/>
      <c r="E65" s="142"/>
      <c r="F65" s="142"/>
      <c r="G65" s="142"/>
      <c r="H65" s="142"/>
      <c r="I65" s="142"/>
      <c r="J65" s="76"/>
      <c r="M65" s="9">
        <v>9</v>
      </c>
      <c r="N65" s="168">
        <f>EDATE(E$84,M65)</f>
        <v>45566</v>
      </c>
      <c r="O65" s="168">
        <f>DATE(IF(MONTH(N65)&gt;=N$72,YEAR(N65)+1,YEAR(N65)),IF(MONTH(N65)&gt;=N$72,N$70,IF(MONTH(N65)&gt;=N$71,N$72,N$71)),1)</f>
        <v>45658</v>
      </c>
      <c r="P65" s="16" t="str">
        <f>VLOOKUP(MONTH(O65),N$70:O$72,2,FALSE)</f>
        <v>Spring</v>
      </c>
      <c r="R65" s="16">
        <v>1</v>
      </c>
      <c r="S65" s="17">
        <f>IFERROR(VLOOKUP(R65,T$45:V$48,2,FALSE),0)</f>
        <v>0</v>
      </c>
      <c r="T65" s="16">
        <f>SUMIFS(V$45:V$48,T$45:T$48,R65)</f>
        <v>0</v>
      </c>
      <c r="U65" s="16">
        <f>MIN(T65,X$43)</f>
        <v>0</v>
      </c>
      <c r="V65" s="61">
        <f>S65*U65</f>
        <v>0</v>
      </c>
      <c r="Z65" s="75" t="s">
        <v>81</v>
      </c>
      <c r="AA65" s="142" t="s">
        <v>82</v>
      </c>
      <c r="AB65" s="142"/>
      <c r="AC65" s="142"/>
      <c r="AD65" s="142"/>
      <c r="AE65" s="142"/>
      <c r="AF65" s="142"/>
      <c r="AG65" s="142"/>
      <c r="AH65" s="76"/>
      <c r="AK65" s="167"/>
      <c r="AL65" s="202"/>
      <c r="AM65" s="202"/>
      <c r="AN65" s="167"/>
      <c r="AP65" s="16">
        <v>1</v>
      </c>
      <c r="AQ65" s="17">
        <f>IFERROR(VLOOKUP(AP65,AR$45:AT$48,2,FALSE),0)</f>
        <v>5.26</v>
      </c>
      <c r="AR65" s="16">
        <f>SUMIFS(AT$45:AT$48,AR$45:AR$48,AP65)</f>
        <v>0</v>
      </c>
      <c r="AS65" s="16">
        <f>MIN(AR65,AV$43)</f>
        <v>0</v>
      </c>
      <c r="AT65" s="61">
        <f>AQ65*AS65</f>
        <v>0</v>
      </c>
    </row>
    <row r="66" spans="2:48" ht="13.5" customHeight="1" x14ac:dyDescent="0.2">
      <c r="B66" s="30"/>
      <c r="C66" s="142"/>
      <c r="D66" s="142"/>
      <c r="E66" s="142"/>
      <c r="F66" s="142"/>
      <c r="G66" s="142"/>
      <c r="H66" s="142"/>
      <c r="I66" s="142"/>
      <c r="J66" s="76"/>
      <c r="M66" s="9">
        <v>24</v>
      </c>
      <c r="N66" s="168">
        <f t="shared" ref="N66:N67" si="17">EDATE(E$84,M66)</f>
        <v>46023</v>
      </c>
      <c r="O66" s="168">
        <f t="shared" ref="O66:O67" si="18">DATE(IF(MONTH(N66)&gt;=N$72,YEAR(N66)+1,YEAR(N66)),IF(MONTH(N66)&gt;=N$72,N$70,IF(MONTH(N66)&gt;=N$71,N$72,N$71)),1)</f>
        <v>46113</v>
      </c>
      <c r="P66" s="16" t="str">
        <f t="shared" ref="P66:P67" si="19">VLOOKUP(MONTH(O66),N$70:O$72,2,FALSE)</f>
        <v>Summer</v>
      </c>
      <c r="R66" s="16">
        <v>2</v>
      </c>
      <c r="S66" s="17">
        <f>IFERROR(VLOOKUP(R66,T$45:V$48,2,FALSE),0)</f>
        <v>0</v>
      </c>
      <c r="T66" s="16">
        <f>SUMIFS(V$45:V$48,T$45:T$48,R66)</f>
        <v>0</v>
      </c>
      <c r="U66" s="16">
        <f>MIN(T66,X$43-U65)</f>
        <v>0</v>
      </c>
      <c r="V66" s="61">
        <f t="shared" ref="V66:V68" si="20">S66*U66</f>
        <v>0</v>
      </c>
      <c r="W66" s="22"/>
      <c r="X66" s="22"/>
      <c r="Y66" s="22"/>
      <c r="Z66" s="30"/>
      <c r="AA66" s="142"/>
      <c r="AB66" s="142"/>
      <c r="AC66" s="142"/>
      <c r="AD66" s="142"/>
      <c r="AE66" s="142"/>
      <c r="AF66" s="142"/>
      <c r="AG66" s="142"/>
      <c r="AH66" s="76"/>
      <c r="AK66" s="167"/>
      <c r="AL66" s="202"/>
      <c r="AM66" s="202"/>
      <c r="AN66" s="167"/>
      <c r="AP66" s="16">
        <v>2</v>
      </c>
      <c r="AQ66" s="17">
        <f>IFERROR(VLOOKUP(AP66,AR$45:AT$48,2,FALSE),0)</f>
        <v>0</v>
      </c>
      <c r="AR66" s="16">
        <f>SUMIFS(AT$45:AT$48,AR$45:AR$48,AP66)</f>
        <v>0</v>
      </c>
      <c r="AS66" s="16">
        <f>MIN(AR66,AV$43-AS65)</f>
        <v>0</v>
      </c>
      <c r="AT66" s="61">
        <f t="shared" ref="AT66:AT68" si="21">AQ66*AS66</f>
        <v>0</v>
      </c>
      <c r="AU66" s="22"/>
      <c r="AV66" s="22"/>
    </row>
    <row r="67" spans="2:48" s="22" customFormat="1" ht="13.5" customHeight="1" x14ac:dyDescent="0.2">
      <c r="B67" s="75" t="s">
        <v>81</v>
      </c>
      <c r="C67" s="142" t="str">
        <f>Q29</f>
        <v>The average monthly cost for All Year attendance is calculated by taking the total annual cost and spreading it equally over 12 months.</v>
      </c>
      <c r="D67" s="142"/>
      <c r="E67" s="142"/>
      <c r="F67" s="142"/>
      <c r="G67" s="142"/>
      <c r="H67" s="142"/>
      <c r="I67" s="142"/>
      <c r="J67" s="76"/>
      <c r="M67" s="9">
        <v>36</v>
      </c>
      <c r="N67" s="168">
        <f t="shared" si="17"/>
        <v>46388</v>
      </c>
      <c r="O67" s="168">
        <f t="shared" si="18"/>
        <v>46478</v>
      </c>
      <c r="P67" s="16" t="str">
        <f t="shared" si="19"/>
        <v>Summer</v>
      </c>
      <c r="R67" s="16">
        <v>3</v>
      </c>
      <c r="S67" s="17">
        <f>IFERROR(VLOOKUP(R67,T$45:V$48,2,FALSE),0)</f>
        <v>0</v>
      </c>
      <c r="T67" s="16">
        <f>SUMIFS(V$45:V$48,T$45:T$48,R67)</f>
        <v>0</v>
      </c>
      <c r="U67" s="16">
        <f>MIN(T67,X$43-U65-U66)</f>
        <v>0</v>
      </c>
      <c r="V67" s="61">
        <f t="shared" si="20"/>
        <v>0</v>
      </c>
      <c r="W67" s="5"/>
      <c r="X67" s="5"/>
      <c r="Y67" s="5"/>
      <c r="Z67" s="75" t="s">
        <v>81</v>
      </c>
      <c r="AA67" s="142" t="str">
        <f>AO29</f>
        <v>The average monthly cost for All Year attendance is calculated by taking the total annual cost and spreading it equally over 12 months.</v>
      </c>
      <c r="AB67" s="142"/>
      <c r="AC67" s="142"/>
      <c r="AD67" s="142"/>
      <c r="AE67" s="142"/>
      <c r="AF67" s="142"/>
      <c r="AG67" s="142"/>
      <c r="AH67" s="76"/>
      <c r="AK67" s="167"/>
      <c r="AL67" s="202"/>
      <c r="AM67" s="202"/>
      <c r="AN67" s="167"/>
      <c r="AP67" s="16">
        <v>3</v>
      </c>
      <c r="AQ67" s="17">
        <f>IFERROR(VLOOKUP(AP67,AR$45:AT$48,2,FALSE),0)</f>
        <v>0</v>
      </c>
      <c r="AR67" s="16">
        <f>SUMIFS(AT$45:AT$48,AR$45:AR$48,AP67)</f>
        <v>0</v>
      </c>
      <c r="AS67" s="16">
        <f>MIN(AR67,AV$43-AS65-AS66)</f>
        <v>0</v>
      </c>
      <c r="AT67" s="61">
        <f t="shared" si="21"/>
        <v>0</v>
      </c>
      <c r="AU67" s="5"/>
      <c r="AV67" s="5"/>
    </row>
    <row r="68" spans="2:48" ht="13.5" customHeight="1" x14ac:dyDescent="0.2">
      <c r="B68" s="30"/>
      <c r="C68" s="142"/>
      <c r="D68" s="142"/>
      <c r="E68" s="142"/>
      <c r="F68" s="142"/>
      <c r="G68" s="142"/>
      <c r="H68" s="142"/>
      <c r="I68" s="142"/>
      <c r="J68" s="76"/>
      <c r="P68" s="9"/>
      <c r="R68" s="16">
        <v>4</v>
      </c>
      <c r="S68" s="17">
        <f>IFERROR(VLOOKUP(R68,T$45:V$48,2,FALSE),0)</f>
        <v>0</v>
      </c>
      <c r="T68" s="16">
        <f>SUMIFS(V$45:V$48,T$45:T$48,R68)</f>
        <v>0</v>
      </c>
      <c r="U68" s="16">
        <f>MIN(T68,X$43-U65-U66-U67)</f>
        <v>0</v>
      </c>
      <c r="V68" s="61">
        <f t="shared" si="20"/>
        <v>0</v>
      </c>
      <c r="Z68" s="30"/>
      <c r="AA68" s="142"/>
      <c r="AB68" s="142"/>
      <c r="AC68" s="142"/>
      <c r="AD68" s="142"/>
      <c r="AE68" s="142"/>
      <c r="AF68" s="142"/>
      <c r="AG68" s="142"/>
      <c r="AH68" s="76"/>
      <c r="AK68" s="167"/>
      <c r="AL68" s="167"/>
      <c r="AM68" s="167"/>
      <c r="AN68" s="167"/>
      <c r="AP68" s="16">
        <v>4</v>
      </c>
      <c r="AQ68" s="17">
        <f>IFERROR(VLOOKUP(AP68,AR$45:AT$48,2,FALSE),0)</f>
        <v>0</v>
      </c>
      <c r="AR68" s="16">
        <f>SUMIFS(AT$45:AT$48,AR$45:AR$48,AP68)</f>
        <v>0</v>
      </c>
      <c r="AS68" s="16">
        <f>MIN(AR68,AV$43-AS65-AS66-AS67)</f>
        <v>0</v>
      </c>
      <c r="AT68" s="61">
        <f t="shared" si="21"/>
        <v>0</v>
      </c>
    </row>
    <row r="69" spans="2:48" ht="13.5" customHeight="1" x14ac:dyDescent="0.2">
      <c r="B69" s="75" t="s">
        <v>81</v>
      </c>
      <c r="C69" s="142" t="s">
        <v>84</v>
      </c>
      <c r="D69" s="142"/>
      <c r="E69" s="142"/>
      <c r="F69" s="142"/>
      <c r="G69" s="142"/>
      <c r="H69" s="142"/>
      <c r="I69" s="142"/>
      <c r="J69" s="76"/>
      <c r="N69" s="21" t="s">
        <v>122</v>
      </c>
      <c r="O69" s="21" t="s">
        <v>123</v>
      </c>
      <c r="P69" s="9"/>
      <c r="R69" s="9"/>
      <c r="T69" s="9">
        <f>SUM(T65:T68)</f>
        <v>0</v>
      </c>
      <c r="U69" s="9">
        <f>SUM(U65:U68)</f>
        <v>0</v>
      </c>
      <c r="V69" s="48">
        <f>SUM(V65:V68)</f>
        <v>0</v>
      </c>
      <c r="Z69" s="75" t="s">
        <v>81</v>
      </c>
      <c r="AA69" s="142" t="s">
        <v>84</v>
      </c>
      <c r="AB69" s="142"/>
      <c r="AC69" s="142"/>
      <c r="AD69" s="142"/>
      <c r="AE69" s="142"/>
      <c r="AF69" s="142"/>
      <c r="AG69" s="142"/>
      <c r="AH69" s="76"/>
      <c r="AK69" s="167"/>
      <c r="AL69" s="167"/>
      <c r="AM69" s="167"/>
      <c r="AN69" s="167"/>
      <c r="AP69" s="9"/>
      <c r="AR69" s="9">
        <f>SUM(AR65:AR68)</f>
        <v>0</v>
      </c>
      <c r="AS69" s="9">
        <f>SUM(AS65:AS68)</f>
        <v>0</v>
      </c>
      <c r="AT69" s="48">
        <f>SUM(AT65:AT68)</f>
        <v>0</v>
      </c>
    </row>
    <row r="70" spans="2:48" ht="13.5" customHeight="1" x14ac:dyDescent="0.2">
      <c r="B70" s="75"/>
      <c r="C70" s="142"/>
      <c r="D70" s="142"/>
      <c r="E70" s="142"/>
      <c r="F70" s="142"/>
      <c r="G70" s="142"/>
      <c r="H70" s="142"/>
      <c r="I70" s="142"/>
      <c r="J70" s="76"/>
      <c r="M70" s="9" t="s">
        <v>124</v>
      </c>
      <c r="N70" s="16">
        <v>1</v>
      </c>
      <c r="O70" s="16" t="str">
        <f t="shared" ref="O70:O71" si="22">M70</f>
        <v>Spring</v>
      </c>
      <c r="P70" s="9"/>
      <c r="R70" s="9"/>
      <c r="T70" s="163" t="s">
        <v>102</v>
      </c>
      <c r="U70" s="163"/>
      <c r="V70" s="119">
        <f>IFERROR(V69/U69,0)</f>
        <v>0</v>
      </c>
      <c r="Z70" s="75"/>
      <c r="AA70" s="142"/>
      <c r="AB70" s="142"/>
      <c r="AC70" s="142"/>
      <c r="AD70" s="142"/>
      <c r="AE70" s="142"/>
      <c r="AF70" s="142"/>
      <c r="AG70" s="142"/>
      <c r="AH70" s="76"/>
      <c r="AK70" s="167"/>
      <c r="AL70" s="167"/>
      <c r="AM70" s="167"/>
      <c r="AN70" s="167"/>
      <c r="AP70" s="9"/>
      <c r="AR70" s="163" t="s">
        <v>102</v>
      </c>
      <c r="AS70" s="163"/>
      <c r="AT70" s="119">
        <f>IFERROR(AT69/AS69,0)</f>
        <v>0</v>
      </c>
    </row>
    <row r="71" spans="2:48" ht="13.5" customHeight="1" x14ac:dyDescent="0.2">
      <c r="B71" s="75" t="s">
        <v>81</v>
      </c>
      <c r="C71" s="142" t="str">
        <f>IF(E35=M23,Q26,Q25)</f>
        <v>Fees are not payable when the nursery is closed for Bank Holidays and between Christmas and New Year, resulting in a lower than average monthly invoice.</v>
      </c>
      <c r="D71" s="142"/>
      <c r="E71" s="142"/>
      <c r="F71" s="142"/>
      <c r="G71" s="142"/>
      <c r="H71" s="142"/>
      <c r="I71" s="142"/>
      <c r="J71" s="77"/>
      <c r="M71" s="9" t="s">
        <v>125</v>
      </c>
      <c r="N71" s="16">
        <v>4</v>
      </c>
      <c r="O71" s="16" t="str">
        <f t="shared" si="22"/>
        <v>Summer</v>
      </c>
      <c r="Z71" s="75" t="s">
        <v>81</v>
      </c>
      <c r="AA71" s="142" t="str">
        <f>IF(AC35=AK23,AO26,AO25)</f>
        <v>Fees are not payable when the nursery is closed for Bank Holidays and between Christmas and New Year, resulting in a lower than average monthly invoice.</v>
      </c>
      <c r="AB71" s="142"/>
      <c r="AC71" s="142"/>
      <c r="AD71" s="142"/>
      <c r="AE71" s="142"/>
      <c r="AF71" s="142"/>
      <c r="AG71" s="142"/>
      <c r="AH71" s="77"/>
      <c r="AK71" s="167"/>
      <c r="AL71" s="167"/>
      <c r="AM71" s="167"/>
      <c r="AN71" s="201"/>
    </row>
    <row r="72" spans="2:48" ht="13.5" customHeight="1" x14ac:dyDescent="0.2">
      <c r="B72" s="75"/>
      <c r="C72" s="142"/>
      <c r="D72" s="142"/>
      <c r="E72" s="142"/>
      <c r="F72" s="142"/>
      <c r="G72" s="142"/>
      <c r="H72" s="142"/>
      <c r="I72" s="142"/>
      <c r="J72" s="77"/>
      <c r="M72" s="9" t="s">
        <v>126</v>
      </c>
      <c r="N72" s="16">
        <v>9</v>
      </c>
      <c r="O72" s="16" t="str">
        <f>M72</f>
        <v>Autumn</v>
      </c>
      <c r="Z72" s="75"/>
      <c r="AA72" s="142"/>
      <c r="AB72" s="142"/>
      <c r="AC72" s="142"/>
      <c r="AD72" s="142"/>
      <c r="AE72" s="142"/>
      <c r="AF72" s="142"/>
      <c r="AG72" s="142"/>
      <c r="AH72" s="77"/>
      <c r="AK72" s="167"/>
      <c r="AL72" s="167"/>
      <c r="AM72" s="167"/>
      <c r="AN72" s="201"/>
    </row>
    <row r="73" spans="2:48" ht="13.5" customHeight="1" x14ac:dyDescent="0.2">
      <c r="B73" s="75"/>
      <c r="C73" s="142"/>
      <c r="D73" s="142"/>
      <c r="E73" s="142"/>
      <c r="F73" s="142"/>
      <c r="G73" s="142"/>
      <c r="H73" s="142"/>
      <c r="I73" s="142"/>
      <c r="J73" s="77"/>
      <c r="Z73" s="75"/>
      <c r="AA73" s="142"/>
      <c r="AB73" s="142"/>
      <c r="AC73" s="142"/>
      <c r="AD73" s="142"/>
      <c r="AE73" s="142"/>
      <c r="AF73" s="142"/>
      <c r="AG73" s="142"/>
      <c r="AH73" s="77"/>
    </row>
    <row r="74" spans="2:48" ht="13.5" customHeight="1" x14ac:dyDescent="0.2">
      <c r="B74" s="75" t="s">
        <v>81</v>
      </c>
      <c r="C74" s="142" t="str">
        <f>Q27</f>
        <v>Funding is available for 50.6 weeks of the year. This may leave a couple of days unfunded where session fees are payable in full.</v>
      </c>
      <c r="D74" s="142"/>
      <c r="E74" s="142"/>
      <c r="F74" s="142"/>
      <c r="G74" s="142"/>
      <c r="H74" s="142"/>
      <c r="I74" s="142"/>
      <c r="J74" s="77"/>
      <c r="Z74" s="75" t="s">
        <v>81</v>
      </c>
      <c r="AA74" s="142" t="str">
        <f>AO27</f>
        <v>Funding is available for 50.6 weeks of the year. This may leave a couple of days unfunded where session fees are payable in full.</v>
      </c>
      <c r="AB74" s="142"/>
      <c r="AC74" s="142"/>
      <c r="AD74" s="142"/>
      <c r="AE74" s="142"/>
      <c r="AF74" s="142"/>
      <c r="AG74" s="142"/>
      <c r="AH74" s="77"/>
    </row>
    <row r="75" spans="2:48" ht="13.5" customHeight="1" x14ac:dyDescent="0.2">
      <c r="B75" s="75"/>
      <c r="C75" s="142"/>
      <c r="D75" s="142"/>
      <c r="E75" s="142"/>
      <c r="F75" s="142"/>
      <c r="G75" s="142"/>
      <c r="H75" s="142"/>
      <c r="I75" s="142"/>
      <c r="J75" s="77"/>
      <c r="Z75" s="75"/>
      <c r="AA75" s="142"/>
      <c r="AB75" s="142"/>
      <c r="AC75" s="142"/>
      <c r="AD75" s="142"/>
      <c r="AE75" s="142"/>
      <c r="AF75" s="142"/>
      <c r="AG75" s="142"/>
      <c r="AH75" s="77"/>
    </row>
    <row r="76" spans="2:48" ht="13.5" customHeight="1" thickBot="1" x14ac:dyDescent="0.25">
      <c r="B76" s="78"/>
      <c r="C76" s="147"/>
      <c r="D76" s="147"/>
      <c r="E76" s="147"/>
      <c r="F76" s="147"/>
      <c r="G76" s="147"/>
      <c r="H76" s="147"/>
      <c r="I76" s="147"/>
      <c r="J76" s="79"/>
      <c r="Z76" s="78"/>
      <c r="AA76" s="147"/>
      <c r="AB76" s="147"/>
      <c r="AC76" s="147"/>
      <c r="AD76" s="147"/>
      <c r="AE76" s="147"/>
      <c r="AF76" s="147"/>
      <c r="AG76" s="147"/>
      <c r="AH76" s="79"/>
    </row>
    <row r="77" spans="2:48" ht="13.5" customHeight="1" thickBot="1" x14ac:dyDescent="0.25">
      <c r="Y77"/>
    </row>
    <row r="78" spans="2:48" ht="13.5" customHeight="1" x14ac:dyDescent="0.2">
      <c r="B78" s="27"/>
      <c r="C78" s="28"/>
      <c r="D78" s="28"/>
      <c r="E78" s="29"/>
      <c r="F78" s="29"/>
      <c r="G78" s="29"/>
      <c r="H78" s="29"/>
      <c r="I78" s="29"/>
      <c r="J78" s="169"/>
      <c r="Y78"/>
      <c r="Z78" s="208"/>
      <c r="AA78" s="209"/>
      <c r="AB78" s="209"/>
      <c r="AC78" s="210"/>
      <c r="AD78" s="210"/>
      <c r="AE78" s="210"/>
      <c r="AF78" s="210"/>
      <c r="AG78" s="210"/>
      <c r="AH78" s="211"/>
    </row>
    <row r="79" spans="2:48" ht="13.5" customHeight="1" x14ac:dyDescent="0.2">
      <c r="B79" s="30"/>
      <c r="C79" s="148" t="s">
        <v>137</v>
      </c>
      <c r="D79" s="148"/>
      <c r="E79" s="148"/>
      <c r="F79" s="148"/>
      <c r="G79" s="148"/>
      <c r="H79" s="148"/>
      <c r="I79" s="148"/>
      <c r="J79" s="36"/>
      <c r="Y79"/>
      <c r="Z79" s="212"/>
      <c r="AA79" s="213" t="s">
        <v>138</v>
      </c>
      <c r="AB79" s="213"/>
      <c r="AC79" s="213"/>
      <c r="AD79" s="213"/>
      <c r="AE79" s="213"/>
      <c r="AF79" s="213"/>
      <c r="AG79" s="213"/>
      <c r="AH79" s="214"/>
    </row>
    <row r="80" spans="2:48" ht="6" customHeight="1" x14ac:dyDescent="0.2">
      <c r="B80" s="30"/>
      <c r="C80" s="200"/>
      <c r="D80" s="200"/>
      <c r="E80" s="201"/>
      <c r="F80" s="201"/>
      <c r="G80" s="201"/>
      <c r="H80" s="201"/>
      <c r="I80" s="201"/>
      <c r="J80" s="36"/>
      <c r="Y80"/>
      <c r="Z80" s="212"/>
      <c r="AA80" s="215"/>
      <c r="AB80" s="215"/>
      <c r="AC80" s="216"/>
      <c r="AD80" s="216"/>
      <c r="AE80" s="216"/>
      <c r="AF80" s="216"/>
      <c r="AG80" s="216"/>
      <c r="AH80" s="214"/>
    </row>
    <row r="81" spans="2:37" ht="13.5" customHeight="1" x14ac:dyDescent="0.2">
      <c r="B81" s="30"/>
      <c r="C81" s="170" t="s">
        <v>142</v>
      </c>
      <c r="D81" s="170"/>
      <c r="E81" s="170"/>
      <c r="F81" s="170"/>
      <c r="G81" s="170"/>
      <c r="H81" s="170"/>
      <c r="I81" s="170"/>
      <c r="J81" s="36"/>
      <c r="M81" s="167"/>
      <c r="Y81"/>
      <c r="Z81" s="212"/>
      <c r="AA81" s="217"/>
      <c r="AB81" s="217"/>
      <c r="AC81" s="217"/>
      <c r="AD81" s="217"/>
      <c r="AE81" s="217"/>
      <c r="AF81" s="217"/>
      <c r="AG81" s="217"/>
      <c r="AH81" s="214"/>
    </row>
    <row r="82" spans="2:37" ht="13.5" customHeight="1" x14ac:dyDescent="0.2">
      <c r="B82" s="30"/>
      <c r="C82" s="170"/>
      <c r="D82" s="170"/>
      <c r="E82" s="170"/>
      <c r="F82" s="170"/>
      <c r="G82" s="170"/>
      <c r="H82" s="170"/>
      <c r="I82" s="170"/>
      <c r="J82" s="36"/>
      <c r="M82" s="203"/>
      <c r="Y82"/>
      <c r="Z82" s="212"/>
      <c r="AA82" s="217"/>
      <c r="AB82" s="217"/>
      <c r="AC82" s="218" t="s">
        <v>15</v>
      </c>
      <c r="AD82" s="219" t="s">
        <v>114</v>
      </c>
      <c r="AE82" s="219"/>
      <c r="AF82" s="220"/>
      <c r="AG82" s="217"/>
      <c r="AH82" s="214"/>
      <c r="AK82" s="5"/>
    </row>
    <row r="83" spans="2:37" ht="13.5" customHeight="1" thickBot="1" x14ac:dyDescent="0.25">
      <c r="B83" s="30"/>
      <c r="J83" s="36"/>
      <c r="M83" s="204"/>
      <c r="Y83"/>
      <c r="Z83" s="212"/>
      <c r="AA83" s="221"/>
      <c r="AB83" s="222"/>
      <c r="AC83" s="222" t="str">
        <f>C43</f>
        <v>Sunrise</v>
      </c>
      <c r="AD83" s="223" t="str">
        <f>TEXT(AC10,"HH:MM")&amp;" - "&amp;TEXT(AD10,"HH:MM")</f>
        <v>07:00 - 08:15</v>
      </c>
      <c r="AE83" s="223"/>
      <c r="AF83" s="224"/>
      <c r="AG83" s="225"/>
      <c r="AH83" s="214"/>
    </row>
    <row r="84" spans="2:37" ht="13.5" customHeight="1" thickBot="1" x14ac:dyDescent="0.25">
      <c r="B84" s="30"/>
      <c r="C84" s="3" t="s">
        <v>127</v>
      </c>
      <c r="E84" s="185">
        <v>45292</v>
      </c>
      <c r="F84" s="186"/>
      <c r="G84" s="187"/>
      <c r="J84" s="36"/>
      <c r="M84" s="204"/>
      <c r="Y84"/>
      <c r="Z84" s="212"/>
      <c r="AA84" s="226"/>
      <c r="AB84" s="227"/>
      <c r="AC84" s="227" t="str">
        <f>C44</f>
        <v>Early Start</v>
      </c>
      <c r="AD84" s="228" t="str">
        <f>TEXT(AC11,"HH:MM")&amp;" - "&amp;TEXT(AD11,"HH:MM")</f>
        <v>07:45 - 08:15</v>
      </c>
      <c r="AE84" s="228"/>
      <c r="AF84" s="229"/>
      <c r="AG84" s="230"/>
      <c r="AH84" s="214"/>
    </row>
    <row r="85" spans="2:37" ht="13.5" customHeight="1" x14ac:dyDescent="0.2">
      <c r="B85" s="30"/>
      <c r="J85" s="36"/>
      <c r="M85" s="204"/>
      <c r="Y85"/>
      <c r="Z85" s="212"/>
      <c r="AA85" s="231"/>
      <c r="AB85" s="215"/>
      <c r="AC85" s="215" t="str">
        <f>C45</f>
        <v>Morning</v>
      </c>
      <c r="AD85" s="232" t="str">
        <f>TEXT(AC12,"HH:MM")&amp;" - "&amp;TEXT(AD12,"HH:MM")</f>
        <v>08:15 - 13:00</v>
      </c>
      <c r="AE85" s="232"/>
      <c r="AF85" s="220"/>
      <c r="AG85" s="216"/>
      <c r="AH85" s="214"/>
    </row>
    <row r="86" spans="2:37" ht="13.5" customHeight="1" thickBot="1" x14ac:dyDescent="0.25">
      <c r="B86" s="30"/>
      <c r="C86" s="3" t="s">
        <v>128</v>
      </c>
      <c r="D86" s="3"/>
      <c r="E86" s="171" t="s">
        <v>129</v>
      </c>
      <c r="F86" s="171"/>
      <c r="G86" s="171"/>
      <c r="J86" s="36"/>
      <c r="M86" s="204"/>
      <c r="Y86"/>
      <c r="Z86" s="212"/>
      <c r="AA86" s="231"/>
      <c r="AB86" s="233"/>
      <c r="AC86" s="215" t="str">
        <f>C46</f>
        <v>Afternoon</v>
      </c>
      <c r="AD86" s="232" t="str">
        <f>TEXT(AC13,"HH:MM")&amp;" - "&amp;TEXT(AD13,"HH:MM")</f>
        <v>13:00 - 17:30</v>
      </c>
      <c r="AE86" s="232"/>
      <c r="AF86" s="220"/>
      <c r="AG86" s="216"/>
      <c r="AH86" s="214"/>
    </row>
    <row r="87" spans="2:37" ht="13.5" customHeight="1" x14ac:dyDescent="0.2">
      <c r="B87" s="30"/>
      <c r="C87" s="6" t="s">
        <v>130</v>
      </c>
      <c r="E87" s="172" t="str">
        <f>TEXT(O65,"D MmMM YYYY")&amp;" - ("&amp;P65&amp;")"</f>
        <v>1 January 2025 - (Spring)</v>
      </c>
      <c r="F87" s="173"/>
      <c r="G87" s="174"/>
      <c r="H87" s="5" t="s">
        <v>131</v>
      </c>
      <c r="J87" s="36"/>
      <c r="M87" s="204"/>
      <c r="Y87"/>
      <c r="Z87" s="212"/>
      <c r="AA87" s="231"/>
      <c r="AB87" s="215"/>
      <c r="AC87" s="215" t="str">
        <f>C47</f>
        <v>School Day</v>
      </c>
      <c r="AD87" s="232" t="str">
        <f>TEXT(AC14,"HH:MM")&amp;" - "&amp;TEXT(AD14,"HH:MM")</f>
        <v>08:15 - 16:00</v>
      </c>
      <c r="AE87" s="232"/>
      <c r="AF87" s="220"/>
      <c r="AG87" s="216"/>
      <c r="AH87" s="214"/>
    </row>
    <row r="88" spans="2:37" ht="13.5" customHeight="1" x14ac:dyDescent="0.2">
      <c r="B88" s="30"/>
      <c r="C88" s="6" t="s">
        <v>132</v>
      </c>
      <c r="E88" s="175" t="str">
        <f>TEXT(O66,"D MMmM YYYY")&amp;" - ("&amp;P66&amp;")"</f>
        <v>1 April 2026 - (Summer)</v>
      </c>
      <c r="F88" s="176"/>
      <c r="G88" s="177"/>
      <c r="H88" s="5" t="s">
        <v>131</v>
      </c>
      <c r="J88" s="36"/>
      <c r="M88" s="204"/>
      <c r="Y88"/>
      <c r="Z88" s="212"/>
      <c r="AA88" s="231"/>
      <c r="AB88" s="215"/>
      <c r="AC88" s="215" t="str">
        <f>C48</f>
        <v>Full Day</v>
      </c>
      <c r="AD88" s="234" t="str">
        <f>TEXT(AC15,"HH:MM")&amp;" - "&amp;TEXT(AD15,"HH:MM")</f>
        <v>08:15 - 17:30</v>
      </c>
      <c r="AE88" s="234"/>
      <c r="AF88" s="220"/>
      <c r="AG88" s="216"/>
      <c r="AH88" s="214"/>
    </row>
    <row r="89" spans="2:37" ht="13.5" customHeight="1" thickBot="1" x14ac:dyDescent="0.25">
      <c r="B89" s="30"/>
      <c r="C89" s="6" t="s">
        <v>133</v>
      </c>
      <c r="E89" s="178" t="str">
        <f>TEXT(O67,"D MMmM YYYY")&amp;" - ("&amp;P67&amp;")"</f>
        <v>1 April 2027 - (Summer)</v>
      </c>
      <c r="F89" s="179"/>
      <c r="G89" s="180"/>
      <c r="H89" s="5" t="s">
        <v>134</v>
      </c>
      <c r="J89" s="36"/>
      <c r="M89" s="204"/>
      <c r="Y89"/>
      <c r="Z89" s="212"/>
      <c r="AA89" s="221"/>
      <c r="AB89" s="222"/>
      <c r="AC89" s="222" t="str">
        <f>C49</f>
        <v>Late Finish</v>
      </c>
      <c r="AD89" s="223" t="str">
        <f>TEXT(AC16,"HH:MM")&amp;" - "&amp;TEXT(AD16,"HH:MM")</f>
        <v>17:30 - 18:00</v>
      </c>
      <c r="AE89" s="223"/>
      <c r="AF89" s="224"/>
      <c r="AG89" s="225"/>
      <c r="AH89" s="214"/>
    </row>
    <row r="90" spans="2:37" ht="13.5" customHeight="1" x14ac:dyDescent="0.2">
      <c r="B90" s="30"/>
      <c r="J90" s="36"/>
      <c r="M90" s="204"/>
      <c r="Y90"/>
      <c r="Z90" s="212"/>
      <c r="AA90" s="226"/>
      <c r="AB90" s="227"/>
      <c r="AC90" s="227" t="str">
        <f>C50</f>
        <v>Sunset</v>
      </c>
      <c r="AD90" s="228" t="str">
        <f>TEXT(AC17,"HH:MM")&amp;" - "&amp;TEXT(AD17,"HH:MM")</f>
        <v>17:30 - 19:00</v>
      </c>
      <c r="AE90" s="228"/>
      <c r="AF90" s="229"/>
      <c r="AG90" s="230"/>
      <c r="AH90" s="214"/>
    </row>
    <row r="91" spans="2:37" ht="13.5" customHeight="1" x14ac:dyDescent="0.2">
      <c r="B91" s="30"/>
      <c r="C91" s="181" t="s">
        <v>135</v>
      </c>
      <c r="D91" s="181"/>
      <c r="E91" s="181"/>
      <c r="F91" s="181"/>
      <c r="G91" s="181"/>
      <c r="H91" s="181"/>
      <c r="I91" s="181"/>
      <c r="J91" s="36"/>
      <c r="Y91"/>
      <c r="Z91" s="212"/>
      <c r="AA91" s="235"/>
      <c r="AB91" s="235"/>
      <c r="AC91" s="235"/>
      <c r="AD91" s="235"/>
      <c r="AE91" s="235"/>
      <c r="AF91" s="235"/>
      <c r="AG91" s="235"/>
      <c r="AH91" s="214"/>
    </row>
    <row r="92" spans="2:37" ht="13.5" customHeight="1" x14ac:dyDescent="0.2">
      <c r="B92" s="30"/>
      <c r="C92" s="188" t="s">
        <v>136</v>
      </c>
      <c r="D92" s="189"/>
      <c r="E92" s="189"/>
      <c r="F92" s="189"/>
      <c r="G92" s="189"/>
      <c r="H92" s="189"/>
      <c r="I92" s="189"/>
      <c r="J92" s="36"/>
      <c r="Y92"/>
      <c r="Z92" s="212"/>
      <c r="AA92" s="236"/>
      <c r="AB92" s="237"/>
      <c r="AC92" s="237"/>
      <c r="AD92" s="237"/>
      <c r="AE92" s="237"/>
      <c r="AF92" s="237"/>
      <c r="AG92" s="237"/>
      <c r="AH92" s="214"/>
    </row>
    <row r="93" spans="2:37" ht="13.5" customHeight="1" thickBot="1" x14ac:dyDescent="0.25">
      <c r="B93" s="78"/>
      <c r="C93" s="182"/>
      <c r="D93" s="182"/>
      <c r="E93" s="183"/>
      <c r="F93" s="183"/>
      <c r="G93" s="183"/>
      <c r="H93" s="183"/>
      <c r="I93" s="183"/>
      <c r="J93" s="184"/>
      <c r="Y93"/>
      <c r="Z93" s="238"/>
      <c r="AA93" s="239"/>
      <c r="AB93" s="239"/>
      <c r="AC93" s="240"/>
      <c r="AD93" s="240"/>
      <c r="AE93" s="240"/>
      <c r="AF93" s="240"/>
      <c r="AG93" s="240"/>
      <c r="AH93" s="241"/>
    </row>
  </sheetData>
  <sheetProtection algorithmName="SHA-512" hashValue="VhQh7WxWAtxkqBgtrcS20JvdbYYWNPv7OlvqGOQpY/jx0FzEBLqdrUML+G/ew26f8kUFEyd8UZF6AeVY1wgdNA==" saltValue="VrZV0x+xcyyeIs4e1BRG8A==" spinCount="100000" sheet="1" selectLockedCells="1"/>
  <mergeCells count="74">
    <mergeCell ref="B31:J31"/>
    <mergeCell ref="Z31:AH31"/>
    <mergeCell ref="B2:AH2"/>
    <mergeCell ref="B4:AH4"/>
    <mergeCell ref="C79:I79"/>
    <mergeCell ref="AA79:AG79"/>
    <mergeCell ref="AD90:AE90"/>
    <mergeCell ref="AD89:AE89"/>
    <mergeCell ref="AD88:AE88"/>
    <mergeCell ref="AD87:AE87"/>
    <mergeCell ref="AD86:AE86"/>
    <mergeCell ref="AD85:AE85"/>
    <mergeCell ref="AD84:AE84"/>
    <mergeCell ref="AD83:AE83"/>
    <mergeCell ref="AD82:AE82"/>
    <mergeCell ref="AA71:AG73"/>
    <mergeCell ref="AA74:AG75"/>
    <mergeCell ref="AA76:AG76"/>
    <mergeCell ref="AA63:AG63"/>
    <mergeCell ref="AA65:AG66"/>
    <mergeCell ref="AA67:AG68"/>
    <mergeCell ref="AA69:AG70"/>
    <mergeCell ref="AR70:AS70"/>
    <mergeCell ref="AA54:AG54"/>
    <mergeCell ref="AA57:AG57"/>
    <mergeCell ref="AA58:AG58"/>
    <mergeCell ref="AA60:AG60"/>
    <mergeCell ref="AP62:AS62"/>
    <mergeCell ref="AC37:AD37"/>
    <mergeCell ref="AE37:AG37"/>
    <mergeCell ref="AE38:AG40"/>
    <mergeCell ref="AC39:AD39"/>
    <mergeCell ref="AA41:AG41"/>
    <mergeCell ref="AC22:AG22"/>
    <mergeCell ref="AE32:AH34"/>
    <mergeCell ref="AC33:AD33"/>
    <mergeCell ref="AC35:AD35"/>
    <mergeCell ref="AE35:AG35"/>
    <mergeCell ref="AK4:AT4"/>
    <mergeCell ref="AA6:AG6"/>
    <mergeCell ref="AC8:AD8"/>
    <mergeCell ref="E87:G87"/>
    <mergeCell ref="E88:G88"/>
    <mergeCell ref="E89:G89"/>
    <mergeCell ref="C91:I91"/>
    <mergeCell ref="C92:I92"/>
    <mergeCell ref="C69:I70"/>
    <mergeCell ref="C71:I73"/>
    <mergeCell ref="C81:I82"/>
    <mergeCell ref="E84:G84"/>
    <mergeCell ref="E86:G86"/>
    <mergeCell ref="C60:I60"/>
    <mergeCell ref="C63:I63"/>
    <mergeCell ref="C65:I66"/>
    <mergeCell ref="R62:U62"/>
    <mergeCell ref="C67:I68"/>
    <mergeCell ref="E39:F39"/>
    <mergeCell ref="C41:I41"/>
    <mergeCell ref="C54:I54"/>
    <mergeCell ref="C57:I57"/>
    <mergeCell ref="C58:I58"/>
    <mergeCell ref="C74:I75"/>
    <mergeCell ref="C76:I76"/>
    <mergeCell ref="T70:U70"/>
    <mergeCell ref="C6:I6"/>
    <mergeCell ref="E8:F8"/>
    <mergeCell ref="E22:I22"/>
    <mergeCell ref="G32:J34"/>
    <mergeCell ref="E33:F33"/>
    <mergeCell ref="E35:F35"/>
    <mergeCell ref="G35:I35"/>
    <mergeCell ref="E37:F37"/>
    <mergeCell ref="G37:I37"/>
    <mergeCell ref="G38:I40"/>
  </mergeCells>
  <phoneticPr fontId="17" type="noConversion"/>
  <conditionalFormatting sqref="C54:I54">
    <cfRule type="expression" dxfId="33" priority="91">
      <formula>$C$54=$M$28</formula>
    </cfRule>
    <cfRule type="expression" dxfId="32" priority="92">
      <formula>OR($C$54=$M$26,$C$54=$M$27,$C$54=$M$29)</formula>
    </cfRule>
  </conditionalFormatting>
  <conditionalFormatting sqref="E23:I26">
    <cfRule type="cellIs" dxfId="31" priority="65" operator="greaterThan">
      <formula>1</formula>
    </cfRule>
  </conditionalFormatting>
  <conditionalFormatting sqref="E43:I44">
    <cfRule type="expression" dxfId="30" priority="67">
      <formula>AND(E$27="Y",NOT(E43=""))</formula>
    </cfRule>
    <cfRule type="expression" dxfId="29" priority="68">
      <formula>COUNTA(E$43:E$44)&gt;1</formula>
    </cfRule>
  </conditionalFormatting>
  <conditionalFormatting sqref="E45:I45 E47:I48">
    <cfRule type="expression" dxfId="28" priority="19">
      <formula>E$27="Y"</formula>
    </cfRule>
  </conditionalFormatting>
  <conditionalFormatting sqref="E45:I48">
    <cfRule type="expression" dxfId="27" priority="21">
      <formula>AND(COUNTA(E$45:E$48)&gt;1,NOT(E45=""))</formula>
    </cfRule>
  </conditionalFormatting>
  <conditionalFormatting sqref="E46:I46 E48:I48">
    <cfRule type="expression" dxfId="26" priority="18">
      <formula>E$28="Y"</formula>
    </cfRule>
  </conditionalFormatting>
  <conditionalFormatting sqref="E48:I48">
    <cfRule type="expression" dxfId="25" priority="20" stopIfTrue="1">
      <formula>COUNTA(E$45:E$46)&gt;1</formula>
    </cfRule>
  </conditionalFormatting>
  <conditionalFormatting sqref="E49:I50">
    <cfRule type="expression" dxfId="24" priority="69">
      <formula>AND(E$28="Y",NOT(E49=""))</formula>
    </cfRule>
    <cfRule type="expression" dxfId="23" priority="70">
      <formula>COUNTA(E$49:E$50)&gt;1</formula>
    </cfRule>
  </conditionalFormatting>
  <conditionalFormatting sqref="E50:I50 E43:I43 AC43:AG43">
    <cfRule type="expression" dxfId="22" priority="93">
      <formula>OR($E$33=$M$19,$E$33=$M$20)</formula>
    </cfRule>
  </conditionalFormatting>
  <conditionalFormatting sqref="E52:I52">
    <cfRule type="expression" dxfId="21" priority="60">
      <formula>E$29="Y"</formula>
    </cfRule>
  </conditionalFormatting>
  <conditionalFormatting sqref="G35">
    <cfRule type="expression" dxfId="20" priority="95">
      <formula>AND(E$33=M$20,E$35=M$23)</formula>
    </cfRule>
  </conditionalFormatting>
  <conditionalFormatting sqref="G37:I37">
    <cfRule type="notContainsBlanks" dxfId="19" priority="97">
      <formula>LEN(TRIM(G37))&gt;0</formula>
    </cfRule>
    <cfRule type="expression" dxfId="18" priority="98">
      <formula>AND($E$37=$M$15,#REF!=$H$9)</formula>
    </cfRule>
  </conditionalFormatting>
  <conditionalFormatting sqref="G32:J34">
    <cfRule type="expression" dxfId="17" priority="96">
      <formula>$E$33=$M$18</formula>
    </cfRule>
  </conditionalFormatting>
  <conditionalFormatting sqref="AA54:AG54">
    <cfRule type="expression" dxfId="16" priority="11">
      <formula>$C$54=$M$28</formula>
    </cfRule>
    <cfRule type="expression" dxfId="15" priority="12">
      <formula>OR($C$54=$M$26,$C$54=$M$27,$C$54=$M$29)</formula>
    </cfRule>
  </conditionalFormatting>
  <conditionalFormatting sqref="AC23:AG26">
    <cfRule type="cellIs" dxfId="14" priority="6" operator="greaterThan">
      <formula>1</formula>
    </cfRule>
  </conditionalFormatting>
  <conditionalFormatting sqref="AC43:AG44">
    <cfRule type="expression" dxfId="13" priority="7">
      <formula>AND(AC$27="Y",NOT(AC43=""))</formula>
    </cfRule>
    <cfRule type="expression" dxfId="12" priority="8">
      <formula>COUNTA(AC$43:AC$44)&gt;1</formula>
    </cfRule>
  </conditionalFormatting>
  <conditionalFormatting sqref="AC45:AG45 AC47:AG48">
    <cfRule type="expression" dxfId="11" priority="2">
      <formula>AC$27="Y"</formula>
    </cfRule>
  </conditionalFormatting>
  <conditionalFormatting sqref="AC45:AG48">
    <cfRule type="expression" dxfId="10" priority="4">
      <formula>AND(COUNTA(AC$45:AC$48)&gt;1,NOT(AC45=""))</formula>
    </cfRule>
  </conditionalFormatting>
  <conditionalFormatting sqref="AC46:AG46 AC48:AG48">
    <cfRule type="expression" dxfId="9" priority="1">
      <formula>AC$28="Y"</formula>
    </cfRule>
  </conditionalFormatting>
  <conditionalFormatting sqref="AC48:AG48">
    <cfRule type="expression" dxfId="8" priority="3" stopIfTrue="1">
      <formula>COUNTA(AC$45:AC$46)&gt;1</formula>
    </cfRule>
  </conditionalFormatting>
  <conditionalFormatting sqref="AC49:AG50">
    <cfRule type="expression" dxfId="7" priority="9">
      <formula>AND(AC$28="Y",NOT(AC49=""))</formula>
    </cfRule>
    <cfRule type="expression" dxfId="6" priority="10">
      <formula>COUNTA(AC$49:AC$50)&gt;1</formula>
    </cfRule>
  </conditionalFormatting>
  <conditionalFormatting sqref="AC50:AG50">
    <cfRule type="expression" dxfId="5" priority="13">
      <formula>OR($E$33=$M$19,$E$33=$M$20)</formula>
    </cfRule>
  </conditionalFormatting>
  <conditionalFormatting sqref="AC52:AG52">
    <cfRule type="expression" dxfId="4" priority="5">
      <formula>AC$29="Y"</formula>
    </cfRule>
  </conditionalFormatting>
  <conditionalFormatting sqref="AE35">
    <cfRule type="expression" dxfId="3" priority="14">
      <formula>AND(AC$33=AK$20,AC$35=AK$23)</formula>
    </cfRule>
  </conditionalFormatting>
  <conditionalFormatting sqref="AE37:AG37">
    <cfRule type="notContainsBlanks" dxfId="2" priority="16">
      <formula>LEN(TRIM(AE37))&gt;0</formula>
    </cfRule>
    <cfRule type="expression" dxfId="1" priority="17">
      <formula>AND($E$37=$M$15,#REF!=$H$9)</formula>
    </cfRule>
  </conditionalFormatting>
  <conditionalFormatting sqref="AE32:AH34">
    <cfRule type="expression" dxfId="0" priority="15">
      <formula>$E$33=$M$18</formula>
    </cfRule>
  </conditionalFormatting>
  <dataValidations count="8">
    <dataValidation type="list" allowBlank="1" showInputMessage="1" showErrorMessage="1" sqref="E35:F35 AC35:AD35" xr:uid="{98639428-8532-40CC-A7DD-91310334B2E4}">
      <formula1>$M$22:$M$23</formula1>
    </dataValidation>
    <dataValidation type="list" allowBlank="1" showInputMessage="1" showErrorMessage="1" sqref="E36 AC36" xr:uid="{5815DC1F-1DE8-4731-B3B0-A549DEED8233}">
      <formula1>$H$9:$I$9</formula1>
    </dataValidation>
    <dataValidation type="list" allowBlank="1" showInputMessage="1" showErrorMessage="1" sqref="E39:F39 AC39:AD39" xr:uid="{3F910D3F-83D3-4E72-AC06-E07B6457CD4D}">
      <formula1>$O$18:$O$19</formula1>
    </dataValidation>
    <dataValidation type="list" allowBlank="1" showInputMessage="1" showErrorMessage="1" sqref="E34:F34 AC34:AD34" xr:uid="{92145536-9119-4C65-B371-D507A3F7C831}">
      <formula1>$M$19:$M$20</formula1>
    </dataValidation>
    <dataValidation type="list" allowBlank="1" showInputMessage="1" showErrorMessage="1" sqref="E33:F33 AC33:AD33" xr:uid="{04A4E3A5-22BD-4952-8ED8-284525E96A24}">
      <formula1>$M$18:$M$20</formula1>
    </dataValidation>
    <dataValidation type="list" allowBlank="1" showInputMessage="1" showErrorMessage="1" sqref="E37:F37 AC37:AD37" xr:uid="{1443E1A8-AB67-4E15-AED0-A82A3DE00C67}">
      <formula1>$M$10:$M$16</formula1>
    </dataValidation>
    <dataValidation type="list" allowBlank="1" showInputMessage="1" showErrorMessage="1" sqref="E43:I50 E52:I52 AC43:AG50 AC52:AG52" xr:uid="{7A196D00-09AD-47DF-B290-16362855BCEA}">
      <formula1>$R$18:$R$19</formula1>
    </dataValidation>
    <dataValidation type="date" operator="greaterThanOrEqual" allowBlank="1" showInputMessage="1" showErrorMessage="1" sqref="E84:G84" xr:uid="{738B962D-B6D9-4D19-84E0-0FAF2C410280}">
      <formula1>43831</formula1>
    </dataValidation>
  </dataValidations>
  <hyperlinks>
    <hyperlink ref="C92" r:id="rId1" xr:uid="{45F4015C-D213-4B0C-9C9D-C0343EFC333F}"/>
  </hyperlinks>
  <pageMargins left="0.39370078740157483" right="0.39370078740157483" top="0.39370078740157483" bottom="0.39370078740157483" header="0.31496062992125984" footer="0.31496062992125984"/>
  <pageSetup paperSize="9" scale="71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6530464FE117439B6DC062589371E9" ma:contentTypeVersion="13" ma:contentTypeDescription="Create a new document." ma:contentTypeScope="" ma:versionID="b086b05d199df9376b648d7419f7f5ff">
  <xsd:schema xmlns:xsd="http://www.w3.org/2001/XMLSchema" xmlns:xs="http://www.w3.org/2001/XMLSchema" xmlns:p="http://schemas.microsoft.com/office/2006/metadata/properties" xmlns:ns3="2b3ea062-08f0-47fa-8a8a-25056daebf74" xmlns:ns4="75db832e-48e2-41cf-85eb-ed6a3fe864f1" targetNamespace="http://schemas.microsoft.com/office/2006/metadata/properties" ma:root="true" ma:fieldsID="e6e5b02c67e8fc60bd93dd6fc520a1ca" ns3:_="" ns4:_="">
    <xsd:import namespace="2b3ea062-08f0-47fa-8a8a-25056daebf74"/>
    <xsd:import namespace="75db832e-48e2-41cf-85eb-ed6a3fe864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ea062-08f0-47fa-8a8a-25056daebf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b832e-48e2-41cf-85eb-ed6a3fe86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634803-CCD7-44AE-82B1-FA11FD7354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935138-95F7-47FD-B673-F01F9082B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3ea062-08f0-47fa-8a8a-25056daebf74"/>
    <ds:schemaRef ds:uri="75db832e-48e2-41cf-85eb-ed6a3fe864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744EFD-4065-4906-95AA-7919735E15FE}">
  <ds:schemaRefs>
    <ds:schemaRef ds:uri="http://purl.org/dc/terms/"/>
    <ds:schemaRef ds:uri="http://schemas.openxmlformats.org/package/2006/metadata/core-properties"/>
    <ds:schemaRef ds:uri="2b3ea062-08f0-47fa-8a8a-25056daebf7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5db832e-48e2-41cf-85eb-ed6a3fe864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Funding Calculator (OLD)</vt:lpstr>
      <vt:lpstr>Funding Calculator</vt:lpstr>
      <vt:lpstr>'Funding Calculator'!Print_Area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Aldrington</dc:creator>
  <cp:lastModifiedBy>Simon Boyd</cp:lastModifiedBy>
  <cp:lastPrinted>2024-10-17T19:35:34Z</cp:lastPrinted>
  <dcterms:created xsi:type="dcterms:W3CDTF">2005-12-16T11:08:47Z</dcterms:created>
  <dcterms:modified xsi:type="dcterms:W3CDTF">2024-10-17T20:38:47Z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0x010100DC6530464FE117439B6DC062589371E9</vt:lpwstr>
  </property>
</Properties>
</file>